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ЭтаКнига"/>
  <bookViews>
    <workbookView xWindow="0" yWindow="0" windowWidth="28800" windowHeight="12300" tabRatio="797"/>
  </bookViews>
  <sheets>
    <sheet name="Расчеты к ПЗ" sheetId="53" r:id="rId1"/>
    <sheet name="Инструкция" sheetId="1" r:id="rId2"/>
    <sheet name="перечень форм" sheetId="3" r:id="rId3"/>
    <sheet name="0. Анкета" sheetId="40" r:id="rId4"/>
    <sheet name="1. Балансы ЭЭ и М" sheetId="49" r:id="rId5"/>
    <sheet name="2.Котловые балансы" sheetId="50" r:id="rId6"/>
    <sheet name="3. уе ЛЭП" sheetId="4" r:id="rId7"/>
    <sheet name="4. уе ПС" sheetId="5" r:id="rId8"/>
    <sheet name="5. уе свод" sheetId="6" r:id="rId9"/>
    <sheet name="6 (сырье и материалы)" sheetId="10" r:id="rId10"/>
    <sheet name="7 (РПР, ремонт)" sheetId="11" r:id="rId11"/>
    <sheet name="8 (расходы на ТО)" sheetId="12" r:id="rId12"/>
    <sheet name="9 (Персонал)" sheetId="13" r:id="rId13"/>
    <sheet name="10 (ППР)" sheetId="14" r:id="rId14"/>
    <sheet name="11 (ФСК)" sheetId="15" r:id="rId15"/>
    <sheet name="12 (аренда ЭСХ-отч пер)" sheetId="16" r:id="rId16"/>
    <sheet name="13 (аренда ЭСХ-план) " sheetId="17" r:id="rId17"/>
    <sheet name="14 (лизинг ЭСХ-отч пер)" sheetId="18" r:id="rId18"/>
    <sheet name="15 (лизинг ЭСХ-план)" sheetId="19" r:id="rId19"/>
    <sheet name="16 (ар.+лиз. проч. им.-отч пер)" sheetId="20" r:id="rId20"/>
    <sheet name="17 (ар.+лиз. проч. им. на-план)" sheetId="21" r:id="rId21"/>
    <sheet name="18 (прочие НР)" sheetId="26" r:id="rId22"/>
    <sheet name="19 (кредиты)" sheetId="27" r:id="rId23"/>
    <sheet name="20 (аморт-отч пер)" sheetId="22" r:id="rId24"/>
    <sheet name="21 (аморт-план)" sheetId="23" r:id="rId25"/>
    <sheet name="22 (свод аморт)" sheetId="24" r:id="rId26"/>
    <sheet name="23 (свод средн стоим ОС)" sheetId="25" r:id="rId27"/>
    <sheet name="24 (прибыль)" sheetId="28" r:id="rId28"/>
    <sheet name="25 расчет инд.тарифа" sheetId="7" r:id="rId29"/>
    <sheet name="26 (корректировка)" sheetId="8" r:id="rId30"/>
    <sheet name="27 (депозиты)" sheetId="29" state="hidden" r:id="rId31"/>
    <sheet name="28 (бездоговор)" sheetId="30" r:id="rId32"/>
    <sheet name="29 (потери-факт)" sheetId="32" r:id="rId33"/>
    <sheet name="30 (тов.выручка-факт)" sheetId="33" r:id="rId34"/>
    <sheet name="31 (услуги ФСК-факт)" sheetId="34" r:id="rId35"/>
    <sheet name="32 ИПР" sheetId="35" r:id="rId36"/>
    <sheet name="33 орех и нп" sheetId="9" r:id="rId37"/>
    <sheet name="34 Расчет НВВ по RAB" sheetId="36" state="hidden" r:id="rId38"/>
    <sheet name="35 Исполнение ИПР" sheetId="48" r:id="rId39"/>
    <sheet name="36 Расчет ЕКТ" sheetId="39" r:id="rId40"/>
    <sheet name="37 ФХД" sheetId="44" r:id="rId41"/>
    <sheet name="38 ДПР" sheetId="45" r:id="rId42"/>
    <sheet name="39 ИПЦ" sheetId="47" r:id="rId43"/>
    <sheet name="40 Потери ээ" sheetId="51" r:id="rId44"/>
    <sheet name="Лист3" sheetId="42" state="hidden" r:id="rId45"/>
    <sheet name="Лист4" sheetId="43" state="hidden" r:id="rId46"/>
  </sheets>
  <externalReferences>
    <externalReference r:id="rId47"/>
    <externalReference r:id="rId48"/>
    <externalReference r:id="rId49"/>
    <externalReference r:id="rId50"/>
    <externalReference r:id="rId51"/>
    <externalReference r:id="rId52"/>
  </externalReferences>
  <definedNames>
    <definedName name="__IntlFixup" hidden="1">TRUE</definedName>
    <definedName name="_ftn1" localSheetId="0">'Расчеты к ПЗ'!#REF!</definedName>
    <definedName name="_ftn2" localSheetId="0">'Расчеты к ПЗ'!#REF!</definedName>
    <definedName name="_ftn3" localSheetId="0">'Расчеты к ПЗ'!#REF!</definedName>
    <definedName name="_ftnref1" localSheetId="0">'Расчеты к ПЗ'!$H$138</definedName>
    <definedName name="_ftnref2" localSheetId="0">'Расчеты к ПЗ'!$C$173</definedName>
    <definedName name="_ftnref3" localSheetId="0">'Расчеты к ПЗ'!$C$174</definedName>
    <definedName name="_IDОтчета">178174</definedName>
    <definedName name="_IDШаблона">178176</definedName>
    <definedName name="_Order1" hidden="1">255</definedName>
    <definedName name="_Order2" hidden="1">255</definedName>
    <definedName name="_Toc9493655" localSheetId="0">'Расчеты к ПЗ'!$B$763</definedName>
    <definedName name="_Toc9493656" localSheetId="0">'Расчеты к ПЗ'!$C$763</definedName>
    <definedName name="_Toc9493657" localSheetId="0">'Расчеты к ПЗ'!$D$763</definedName>
    <definedName name="_Toc9493658" localSheetId="0">'Расчеты к ПЗ'!$B$764</definedName>
    <definedName name="_Toc9493659" localSheetId="0">'Расчеты к ПЗ'!$C$764</definedName>
    <definedName name="_Toc9493660" localSheetId="0">'Расчеты к ПЗ'!$D$764</definedName>
    <definedName name="_Toc9493661" localSheetId="0">'Расчеты к ПЗ'!$B$765</definedName>
    <definedName name="_Toc9493662" localSheetId="0">'Расчеты к ПЗ'!$C$765</definedName>
    <definedName name="_Toc9493663" localSheetId="0">'Расчеты к ПЗ'!$D$765</definedName>
    <definedName name="_Toc9493664" localSheetId="0">'Расчеты к ПЗ'!$B$766</definedName>
    <definedName name="_Toc9493665" localSheetId="0">'Расчеты к ПЗ'!$C$766</definedName>
    <definedName name="_Toc9493666" localSheetId="0">'Расчеты к ПЗ'!$D$766</definedName>
    <definedName name="_Toc9493667" localSheetId="0">'Расчеты к ПЗ'!$B$767</definedName>
    <definedName name="_Toc9493668" localSheetId="0">'Расчеты к ПЗ'!$C$767</definedName>
    <definedName name="_Toc9493669" localSheetId="0">'Расчеты к ПЗ'!$D$767</definedName>
    <definedName name="_Toc9493670" localSheetId="0">'Расчеты к ПЗ'!$B$768</definedName>
    <definedName name="_Toc9493671" localSheetId="0">'Расчеты к ПЗ'!$C$768</definedName>
    <definedName name="_Toc9493672" localSheetId="0">'Расчеты к ПЗ'!$D$768</definedName>
    <definedName name="_Toc9493673" localSheetId="0">'Расчеты к ПЗ'!#REF!</definedName>
    <definedName name="_Toc9493674" localSheetId="0">'Расчеты к ПЗ'!#REF!</definedName>
    <definedName name="_Toc9493675" localSheetId="0">'Расчеты к ПЗ'!#REF!</definedName>
    <definedName name="_Toc9493676" localSheetId="0">'Расчеты к ПЗ'!#REF!</definedName>
    <definedName name="_Toc9493677" localSheetId="0">'Расчеты к ПЗ'!#REF!</definedName>
    <definedName name="_Toc9493678" localSheetId="0">'Расчеты к ПЗ'!#REF!</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xlnm._FilterDatabase" localSheetId="13" hidden="1">'10 (ППР)'!$A$6:$T$26</definedName>
    <definedName name="_xlnm._FilterDatabase" localSheetId="24" hidden="1">'21 (аморт-план)'!$A$1:$AI$64</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ded_row" localSheetId="27">'24 (прибыль)'!$G$28</definedName>
    <definedName name="added_rows" localSheetId="27">'24 (прибыль)'!$A$26:$G$28</definedName>
    <definedName name="amort_vid_obj_list">[1]TEHSHEET!$K$2:$K$3</definedName>
    <definedName name="anscount" hidden="1">1</definedName>
    <definedName name="AS2DocOpenMode" hidden="1">"AS2DocumentBrowse"</definedName>
    <definedName name="AS2NamedRange" hidden="1">5</definedName>
    <definedName name="bbb" localSheetId="33">'30 (тов.выручка-факт)'!$I$23</definedName>
    <definedName name="Button_1">"НоваяОборотка_Лист1_Таблица"</definedName>
    <definedName name="CHECK_LINK_RANGE_1">"Калькуляция!$I$11:$I$132"</definedName>
    <definedName name="CheckBC_List10_1" localSheetId="4">#REF!</definedName>
    <definedName name="CheckBC_List10_1" localSheetId="5">#REF!</definedName>
    <definedName name="CheckBC_List10_1" localSheetId="38">#REF!</definedName>
    <definedName name="CheckBC_List10_1" localSheetId="40">#REF!</definedName>
    <definedName name="CheckBC_List10_1" localSheetId="41">#REF!</definedName>
    <definedName name="CheckBC_List10_1" localSheetId="42">#REF!</definedName>
    <definedName name="CheckBC_List10_1" localSheetId="43">#REF!</definedName>
    <definedName name="CheckBC_List10_1">#REF!</definedName>
    <definedName name="CheckBC_List10_2" localSheetId="4">#REF!</definedName>
    <definedName name="CheckBC_List10_2" localSheetId="5">#REF!</definedName>
    <definedName name="CheckBC_List10_2" localSheetId="38">#REF!</definedName>
    <definedName name="CheckBC_List10_2" localSheetId="40">#REF!</definedName>
    <definedName name="CheckBC_List10_2" localSheetId="41">#REF!</definedName>
    <definedName name="CheckBC_List10_2" localSheetId="42">#REF!</definedName>
    <definedName name="CheckBC_List10_2" localSheetId="43">#REF!</definedName>
    <definedName name="CheckBC_List10_2">#REF!</definedName>
    <definedName name="CheckBC_List10_3" localSheetId="4">#REF!</definedName>
    <definedName name="CheckBC_List10_3" localSheetId="5">#REF!</definedName>
    <definedName name="CheckBC_List10_3" localSheetId="38">#REF!</definedName>
    <definedName name="CheckBC_List10_3" localSheetId="40">#REF!</definedName>
    <definedName name="CheckBC_List10_3" localSheetId="41">#REF!</definedName>
    <definedName name="CheckBC_List10_3" localSheetId="42">#REF!</definedName>
    <definedName name="CheckBC_List10_3" localSheetId="43">#REF!</definedName>
    <definedName name="CheckBC_List10_3">#REF!</definedName>
    <definedName name="CheckBC_List10_4" localSheetId="4">#REF!</definedName>
    <definedName name="CheckBC_List10_4" localSheetId="5">#REF!</definedName>
    <definedName name="CheckBC_List10_4" localSheetId="38">#REF!</definedName>
    <definedName name="CheckBC_List10_4" localSheetId="40">#REF!</definedName>
    <definedName name="CheckBC_List10_4" localSheetId="41">#REF!</definedName>
    <definedName name="CheckBC_List10_4" localSheetId="42">#REF!</definedName>
    <definedName name="CheckBC_List10_4" localSheetId="43">#REF!</definedName>
    <definedName name="CheckBC_List10_4">#REF!</definedName>
    <definedName name="CheckBC_List24_2">'34 Расчет НВВ по RAB'!$F$47:$Q$47</definedName>
    <definedName name="DemoDate">"test"</definedName>
    <definedName name="END_COLUMN_LIST" localSheetId="4">#REF!</definedName>
    <definedName name="END_COLUMN_LIST" localSheetId="5">#REF!</definedName>
    <definedName name="END_COLUMN_LIST" localSheetId="38">#REF!</definedName>
    <definedName name="END_COLUMN_LIST" localSheetId="40">#REF!</definedName>
    <definedName name="END_COLUMN_LIST" localSheetId="41">#REF!</definedName>
    <definedName name="END_COLUMN_LIST" localSheetId="42">#REF!</definedName>
    <definedName name="END_COLUMN_LIST" localSheetId="43">#REF!</definedName>
    <definedName name="END_COLUMN_LIST">#REF!</definedName>
    <definedName name="END_ROW_LIST" localSheetId="4">#REF!</definedName>
    <definedName name="END_ROW_LIST" localSheetId="5">#REF!</definedName>
    <definedName name="END_ROW_LIST" localSheetId="38">#REF!</definedName>
    <definedName name="END_ROW_LIST" localSheetId="40">#REF!</definedName>
    <definedName name="END_ROW_LIST" localSheetId="41">#REF!</definedName>
    <definedName name="END_ROW_LIST" localSheetId="42">#REF!</definedName>
    <definedName name="END_ROW_LIST" localSheetId="43">#REF!</definedName>
    <definedName name="END_ROW_LIST">#REF!</definedName>
    <definedName name="et_List24_2_sum">'34 Расчет НВВ по RAB'!$33:$33</definedName>
    <definedName name="FIRST_PERIOD_IN_LT">[2]Титульный!$E$19</definedName>
    <definedName name="god" localSheetId="37">[3]Титульный!$F$9</definedName>
    <definedName name="god" localSheetId="0">[1]Титульный!$F$17</definedName>
    <definedName name="god">[2]Титульный!$E$23</definedName>
    <definedName name="HTML_CodePage" hidden="1">1251</definedName>
    <definedName name="HTML_Description" hidden="1">""</definedName>
    <definedName name="HTML_Email" hidden="1">""</definedName>
    <definedName name="HTML_Header" hidden="1">"Лист1"</definedName>
    <definedName name="HTML_LastUpdate" hidden="1">"18.10.01"</definedName>
    <definedName name="HTML_LineAfter">FALSE</definedName>
    <definedName name="HTML_LineBefore">FALSE</definedName>
    <definedName name="HTML_Name" hidden="1">"Федецкий И.И."</definedName>
    <definedName name="HTML_OBDlg2">TRUE</definedName>
    <definedName name="HTML_OBDlg4">TRUE</definedName>
    <definedName name="HTML_OS" hidden="1">0</definedName>
    <definedName name="HTML_PathFileMac" hidden="1">"MacOS 9.1:Desktop Folder:Окончательные Матрицы:MyHTML.html"</definedName>
    <definedName name="HTML_Title" hidden="1">"Климатические зоны Томской области"</definedName>
    <definedName name="index_period_list2">[3]TEHSHEET!$AB$2:$AB$23</definedName>
    <definedName name="infl_proc">[3]TEHSHEET!$AF$2:$AF$23</definedName>
    <definedName name="infl_years">[3]TEHSHEET!$AE$2:$AE$23</definedName>
    <definedName name="INFORMATION_TO_LIST">[2]TECHSHEET!$N$36:$N$37</definedName>
    <definedName name="INN">[2]Титульный!$E$13</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EY">"tet"</definedName>
    <definedName name="KOTLODERJ_LIST">[3]Справочники!$G$9</definedName>
    <definedName name="KPP">[2]Титульный!$E$14</definedName>
    <definedName name="LEVEL_VOLTAGE">[2]TECHSHEET!$N$21:$N$25</definedName>
    <definedName name="limcount" hidden="1">1</definedName>
    <definedName name="LIST_MO_GROW_APPROVED_BY_FTS" localSheetId="4">#REF!</definedName>
    <definedName name="LIST_MO_GROW_APPROVED_BY_FTS" localSheetId="5">#REF!</definedName>
    <definedName name="LIST_MO_GROW_APPROVED_BY_FTS" localSheetId="38">#REF!</definedName>
    <definedName name="LIST_MO_GROW_APPROVED_BY_FTS" localSheetId="40">#REF!</definedName>
    <definedName name="LIST_MO_GROW_APPROVED_BY_FTS" localSheetId="41">#REF!</definedName>
    <definedName name="LIST_MO_GROW_APPROVED_BY_FTS" localSheetId="42">#REF!</definedName>
    <definedName name="LIST_MO_GROW_APPROVED_BY_FTS" localSheetId="43">#REF!</definedName>
    <definedName name="LIST_MO_GROW_APPROVED_BY_FTS">#REF!</definedName>
    <definedName name="List10_checkA" localSheetId="4">#REF!</definedName>
    <definedName name="List10_checkA" localSheetId="5">#REF!</definedName>
    <definedName name="List10_checkA" localSheetId="38">#REF!</definedName>
    <definedName name="List10_checkA" localSheetId="40">#REF!</definedName>
    <definedName name="List10_checkA" localSheetId="41">#REF!</definedName>
    <definedName name="List10_checkA" localSheetId="42">#REF!</definedName>
    <definedName name="List10_checkA" localSheetId="43">#REF!</definedName>
    <definedName name="List10_checkA">#REF!</definedName>
    <definedName name="List10_checkB" localSheetId="4">#REF!</definedName>
    <definedName name="List10_checkB" localSheetId="5">#REF!</definedName>
    <definedName name="List10_checkB" localSheetId="38">#REF!</definedName>
    <definedName name="List10_checkB" localSheetId="40">#REF!</definedName>
    <definedName name="List10_checkB" localSheetId="41">#REF!</definedName>
    <definedName name="List10_checkB" localSheetId="42">#REF!</definedName>
    <definedName name="List10_checkB" localSheetId="43">#REF!</definedName>
    <definedName name="List10_checkB">#REF!</definedName>
    <definedName name="List14_actives">'[3]Расчет НВВ РСК - индексация'!$H$11:$H$18</definedName>
    <definedName name="List14_infl">'[3]Расчет НВВ РСК - индексация'!$F$11:$F$18</definedName>
    <definedName name="List14_periods">'[3]Расчет НВВ РСК - индексация'!$E$11:$E$18</definedName>
    <definedName name="List14_techloss">'[3]Расчет НВВ РСК - индексация'!$BL$11:$BL$18</definedName>
    <definedName name="List24_2_max">'34 Расчет НВВ по RAB'!$B$32</definedName>
    <definedName name="List24_2_min">'34 Расчет НВВ по RAB'!$A$32</definedName>
    <definedName name="List24_2_periods">'34 Расчет НВВ по RAB'!$A$31:$A$43</definedName>
    <definedName name="List24_2_prdall">'34 Расчет НВВ по RAB'!$F$7:$Q$7</definedName>
    <definedName name="logic">[2]TECHSHEET!$O$10:$O$11</definedName>
    <definedName name="logical">[3]TEHSHEET!$K$2:$K$3</definedName>
    <definedName name="main.dpr_len">'[4]0 (анкета)'!$B$4</definedName>
    <definedName name="main.dpr_start">'[4]0 (анкета)'!$B$5</definedName>
    <definedName name="main.file_version">Инструкция!$B$1</definedName>
    <definedName name="main.reg_year">'[4]0 (анкета)'!$B$3</definedName>
    <definedName name="MmExcelLinker_6E24F10A_D93B_4197_A91F_1E8C46B84DD5" localSheetId="4">РТ передача [5]ээ!$I$76:$I$76</definedName>
    <definedName name="MmExcelLinker_6E24F10A_D93B_4197_A91F_1E8C46B84DD5" localSheetId="5">РТ передача [5]ээ!$I$76:$I$76</definedName>
    <definedName name="MmExcelLinker_6E24F10A_D93B_4197_A91F_1E8C46B84DD5" localSheetId="38">РТ передача [5]ээ!$I$76:$I$76</definedName>
    <definedName name="MmExcelLinker_6E24F10A_D93B_4197_A91F_1E8C46B84DD5" localSheetId="40">РТ передача [5]ээ!$I$76:$I$76</definedName>
    <definedName name="MmExcelLinker_6E24F10A_D93B_4197_A91F_1E8C46B84DD5" localSheetId="41">РТ передача [5]ээ!$I$76:$I$76</definedName>
    <definedName name="MmExcelLinker_6E24F10A_D93B_4197_A91F_1E8C46B84DD5" localSheetId="42">РТ передача [5]ээ!$I$76:$I$76</definedName>
    <definedName name="MmExcelLinker_6E24F10A_D93B_4197_A91F_1E8C46B84DD5" localSheetId="43">РТ передача [5]ээ!$I$76:$I$76</definedName>
    <definedName name="MmExcelLinker_6E24F10A_D93B_4197_A91F_1E8C46B84DD5" localSheetId="0">РТ передача [5]ээ!$I$76:$I$76</definedName>
    <definedName name="MmExcelLinker_6E24F10A_D93B_4197_A91F_1E8C46B84DD5">РТ передача [5]ээ!$I$76:$I$76</definedName>
    <definedName name="MO_LIST_20" localSheetId="4">[2]REESTR_MO!#REF!</definedName>
    <definedName name="MO_LIST_20" localSheetId="5">[2]REESTR_MO!#REF!</definedName>
    <definedName name="MO_LIST_20" localSheetId="38">[2]REESTR_MO!#REF!</definedName>
    <definedName name="MO_LIST_20" localSheetId="40">[2]REESTR_MO!#REF!</definedName>
    <definedName name="MO_LIST_20" localSheetId="41">[2]REESTR_MO!#REF!</definedName>
    <definedName name="MO_LIST_20" localSheetId="42">[2]REESTR_MO!#REF!</definedName>
    <definedName name="MO_LIST_20" localSheetId="43">[2]REESTR_MO!#REF!</definedName>
    <definedName name="MO_LIST_20">[2]REESTR_MO!#REF!</definedName>
    <definedName name="MO_LIST_21" localSheetId="4">[2]REESTR_MO!#REF!</definedName>
    <definedName name="MO_LIST_21" localSheetId="5">[2]REESTR_MO!#REF!</definedName>
    <definedName name="MO_LIST_21" localSheetId="38">[2]REESTR_MO!#REF!</definedName>
    <definedName name="MO_LIST_21" localSheetId="40">[2]REESTR_MO!#REF!</definedName>
    <definedName name="MO_LIST_21" localSheetId="41">[2]REESTR_MO!#REF!</definedName>
    <definedName name="MO_LIST_21" localSheetId="42">[2]REESTR_MO!#REF!</definedName>
    <definedName name="MO_LIST_21" localSheetId="43">[2]REESTR_MO!#REF!</definedName>
    <definedName name="MO_LIST_21">[2]REESTR_MO!#REF!</definedName>
    <definedName name="MO_LIST_22" localSheetId="4">[2]REESTR_MO!#REF!</definedName>
    <definedName name="MO_LIST_22" localSheetId="5">[2]REESTR_MO!#REF!</definedName>
    <definedName name="MO_LIST_22" localSheetId="38">[2]REESTR_MO!#REF!</definedName>
    <definedName name="MO_LIST_22" localSheetId="40">[2]REESTR_MO!#REF!</definedName>
    <definedName name="MO_LIST_22" localSheetId="41">[2]REESTR_MO!#REF!</definedName>
    <definedName name="MO_LIST_22" localSheetId="42">[2]REESTR_MO!#REF!</definedName>
    <definedName name="MO_LIST_22" localSheetId="43">[2]REESTR_MO!#REF!</definedName>
    <definedName name="MO_LIST_22">[2]REESTR_MO!#REF!</definedName>
    <definedName name="MO_LIST_23" localSheetId="4">[2]REESTR_MO!#REF!</definedName>
    <definedName name="MO_LIST_23" localSheetId="5">[2]REESTR_MO!#REF!</definedName>
    <definedName name="MO_LIST_23" localSheetId="38">[2]REESTR_MO!#REF!</definedName>
    <definedName name="MO_LIST_23" localSheetId="40">[2]REESTR_MO!#REF!</definedName>
    <definedName name="MO_LIST_23" localSheetId="41">[2]REESTR_MO!#REF!</definedName>
    <definedName name="MO_LIST_23" localSheetId="42">[2]REESTR_MO!#REF!</definedName>
    <definedName name="MO_LIST_23" localSheetId="43">[2]REESTR_MO!#REF!</definedName>
    <definedName name="MO_LIST_23">[2]REESTR_MO!#REF!</definedName>
    <definedName name="MO_LIST_24" localSheetId="4">[2]REESTR_MO!#REF!</definedName>
    <definedName name="MO_LIST_24" localSheetId="5">[2]REESTR_MO!#REF!</definedName>
    <definedName name="MO_LIST_24" localSheetId="38">[2]REESTR_MO!#REF!</definedName>
    <definedName name="MO_LIST_24" localSheetId="40">[2]REESTR_MO!#REF!</definedName>
    <definedName name="MO_LIST_24" localSheetId="41">[2]REESTR_MO!#REF!</definedName>
    <definedName name="MO_LIST_24" localSheetId="42">[2]REESTR_MO!#REF!</definedName>
    <definedName name="MO_LIST_24" localSheetId="43">[2]REESTR_MO!#REF!</definedName>
    <definedName name="MO_LIST_24">[2]REESTR_MO!#REF!</definedName>
    <definedName name="MO_LIST_25" localSheetId="4">[2]REESTR_MO!#REF!</definedName>
    <definedName name="MO_LIST_25" localSheetId="5">[2]REESTR_MO!#REF!</definedName>
    <definedName name="MO_LIST_25" localSheetId="38">[2]REESTR_MO!#REF!</definedName>
    <definedName name="MO_LIST_25" localSheetId="40">[2]REESTR_MO!#REF!</definedName>
    <definedName name="MO_LIST_25" localSheetId="41">[2]REESTR_MO!#REF!</definedName>
    <definedName name="MO_LIST_25" localSheetId="42">[2]REESTR_MO!#REF!</definedName>
    <definedName name="MO_LIST_25" localSheetId="43">[2]REESTR_MO!#REF!</definedName>
    <definedName name="MO_LIST_25">[2]REESTR_MO!#REF!</definedName>
    <definedName name="MO_LIST_26" localSheetId="4">[2]REESTR_MO!#REF!</definedName>
    <definedName name="MO_LIST_26" localSheetId="5">[2]REESTR_MO!#REF!</definedName>
    <definedName name="MO_LIST_26" localSheetId="38">[2]REESTR_MO!#REF!</definedName>
    <definedName name="MO_LIST_26" localSheetId="40">[2]REESTR_MO!#REF!</definedName>
    <definedName name="MO_LIST_26" localSheetId="41">[2]REESTR_MO!#REF!</definedName>
    <definedName name="MO_LIST_26" localSheetId="42">[2]REESTR_MO!#REF!</definedName>
    <definedName name="MO_LIST_26" localSheetId="43">[2]REESTR_MO!#REF!</definedName>
    <definedName name="MO_LIST_26">[2]REESTR_MO!#REF!</definedName>
    <definedName name="MO_LIST_27" localSheetId="4">[2]REESTR_MO!#REF!</definedName>
    <definedName name="MO_LIST_27" localSheetId="5">[2]REESTR_MO!#REF!</definedName>
    <definedName name="MO_LIST_27" localSheetId="38">[2]REESTR_MO!#REF!</definedName>
    <definedName name="MO_LIST_27" localSheetId="40">[2]REESTR_MO!#REF!</definedName>
    <definedName name="MO_LIST_27" localSheetId="41">[2]REESTR_MO!#REF!</definedName>
    <definedName name="MO_LIST_27" localSheetId="42">[2]REESTR_MO!#REF!</definedName>
    <definedName name="MO_LIST_27" localSheetId="43">[2]REESTR_MO!#REF!</definedName>
    <definedName name="MO_LIST_27">[2]REESTR_MO!#REF!</definedName>
    <definedName name="MO_LIST_28" localSheetId="4">[2]REESTR_MO!#REF!</definedName>
    <definedName name="MO_LIST_28" localSheetId="5">[2]REESTR_MO!#REF!</definedName>
    <definedName name="MO_LIST_28" localSheetId="38">[2]REESTR_MO!#REF!</definedName>
    <definedName name="MO_LIST_28" localSheetId="40">[2]REESTR_MO!#REF!</definedName>
    <definedName name="MO_LIST_28" localSheetId="41">[2]REESTR_MO!#REF!</definedName>
    <definedName name="MO_LIST_28" localSheetId="42">[2]REESTR_MO!#REF!</definedName>
    <definedName name="MO_LIST_28" localSheetId="43">[2]REESTR_MO!#REF!</definedName>
    <definedName name="MO_LIST_28">[2]REESTR_MO!#REF!</definedName>
    <definedName name="MO_LIST_29" localSheetId="4">[2]REESTR_MO!#REF!</definedName>
    <definedName name="MO_LIST_29" localSheetId="5">[2]REESTR_MO!#REF!</definedName>
    <definedName name="MO_LIST_29" localSheetId="38">[2]REESTR_MO!#REF!</definedName>
    <definedName name="MO_LIST_29" localSheetId="40">[2]REESTR_MO!#REF!</definedName>
    <definedName name="MO_LIST_29" localSheetId="41">[2]REESTR_MO!#REF!</definedName>
    <definedName name="MO_LIST_29" localSheetId="42">[2]REESTR_MO!#REF!</definedName>
    <definedName name="MO_LIST_29" localSheetId="43">[2]REESTR_MO!#REF!</definedName>
    <definedName name="MO_LIST_29">[2]REESTR_MO!#REF!</definedName>
    <definedName name="MO_LIST_30" localSheetId="4">[2]REESTR_MO!#REF!</definedName>
    <definedName name="MO_LIST_30" localSheetId="5">[2]REESTR_MO!#REF!</definedName>
    <definedName name="MO_LIST_30" localSheetId="38">[2]REESTR_MO!#REF!</definedName>
    <definedName name="MO_LIST_30" localSheetId="40">[2]REESTR_MO!#REF!</definedName>
    <definedName name="MO_LIST_30" localSheetId="41">[2]REESTR_MO!#REF!</definedName>
    <definedName name="MO_LIST_30" localSheetId="42">[2]REESTR_MO!#REF!</definedName>
    <definedName name="MO_LIST_30" localSheetId="43">[2]REESTR_MO!#REF!</definedName>
    <definedName name="MO_LIST_30">[2]REESTR_MO!#REF!</definedName>
    <definedName name="MO_LIST_31" localSheetId="4">[2]REESTR_MO!#REF!</definedName>
    <definedName name="MO_LIST_31" localSheetId="5">[2]REESTR_MO!#REF!</definedName>
    <definedName name="MO_LIST_31" localSheetId="38">[2]REESTR_MO!#REF!</definedName>
    <definedName name="MO_LIST_31" localSheetId="40">[2]REESTR_MO!#REF!</definedName>
    <definedName name="MO_LIST_31" localSheetId="41">[2]REESTR_MO!#REF!</definedName>
    <definedName name="MO_LIST_31" localSheetId="42">[2]REESTR_MO!#REF!</definedName>
    <definedName name="MO_LIST_31" localSheetId="43">[2]REESTR_MO!#REF!</definedName>
    <definedName name="MO_LIST_31">[2]REESTR_MO!#REF!</definedName>
    <definedName name="MO_LIST_32" localSheetId="4">[2]REESTR_MO!#REF!</definedName>
    <definedName name="MO_LIST_32" localSheetId="5">[2]REESTR_MO!#REF!</definedName>
    <definedName name="MO_LIST_32" localSheetId="38">[2]REESTR_MO!#REF!</definedName>
    <definedName name="MO_LIST_32" localSheetId="40">[2]REESTR_MO!#REF!</definedName>
    <definedName name="MO_LIST_32" localSheetId="41">[2]REESTR_MO!#REF!</definedName>
    <definedName name="MO_LIST_32" localSheetId="42">[2]REESTR_MO!#REF!</definedName>
    <definedName name="MO_LIST_32" localSheetId="43">[2]REESTR_MO!#REF!</definedName>
    <definedName name="MO_LIST_32">[2]REESTR_MO!#REF!</definedName>
    <definedName name="MO_LIST_33" localSheetId="4">[2]REESTR_MO!#REF!</definedName>
    <definedName name="MO_LIST_33" localSheetId="5">[2]REESTR_MO!#REF!</definedName>
    <definedName name="MO_LIST_33" localSheetId="38">[2]REESTR_MO!#REF!</definedName>
    <definedName name="MO_LIST_33" localSheetId="40">[2]REESTR_MO!#REF!</definedName>
    <definedName name="MO_LIST_33" localSheetId="41">[2]REESTR_MO!#REF!</definedName>
    <definedName name="MO_LIST_33" localSheetId="42">[2]REESTR_MO!#REF!</definedName>
    <definedName name="MO_LIST_33" localSheetId="43">[2]REESTR_MO!#REF!</definedName>
    <definedName name="MO_LIST_33">[2]REESTR_MO!#REF!</definedName>
    <definedName name="MO_LIST_34" localSheetId="4">[2]REESTR_MO!#REF!</definedName>
    <definedName name="MO_LIST_34" localSheetId="5">[2]REESTR_MO!#REF!</definedName>
    <definedName name="MO_LIST_34" localSheetId="38">[2]REESTR_MO!#REF!</definedName>
    <definedName name="MO_LIST_34" localSheetId="40">[2]REESTR_MO!#REF!</definedName>
    <definedName name="MO_LIST_34" localSheetId="41">[2]REESTR_MO!#REF!</definedName>
    <definedName name="MO_LIST_34" localSheetId="42">[2]REESTR_MO!#REF!</definedName>
    <definedName name="MO_LIST_34" localSheetId="43">[2]REESTR_MO!#REF!</definedName>
    <definedName name="MO_LIST_34">[2]REESTR_MO!#REF!</definedName>
    <definedName name="MO_LIST_35" localSheetId="4">[2]REESTR_MO!#REF!</definedName>
    <definedName name="MO_LIST_35" localSheetId="5">[2]REESTR_MO!#REF!</definedName>
    <definedName name="MO_LIST_35" localSheetId="38">[2]REESTR_MO!#REF!</definedName>
    <definedName name="MO_LIST_35" localSheetId="40">[2]REESTR_MO!#REF!</definedName>
    <definedName name="MO_LIST_35" localSheetId="41">[2]REESTR_MO!#REF!</definedName>
    <definedName name="MO_LIST_35" localSheetId="42">[2]REESTR_MO!#REF!</definedName>
    <definedName name="MO_LIST_35" localSheetId="43">[2]REESTR_MO!#REF!</definedName>
    <definedName name="MO_LIST_35">[2]REESTR_MO!#REF!</definedName>
    <definedName name="MO_LIST_36" localSheetId="4">[2]REESTR_MO!#REF!</definedName>
    <definedName name="MO_LIST_36" localSheetId="5">[2]REESTR_MO!#REF!</definedName>
    <definedName name="MO_LIST_36" localSheetId="38">[2]REESTR_MO!#REF!</definedName>
    <definedName name="MO_LIST_36" localSheetId="40">[2]REESTR_MO!#REF!</definedName>
    <definedName name="MO_LIST_36" localSheetId="41">[2]REESTR_MO!#REF!</definedName>
    <definedName name="MO_LIST_36" localSheetId="42">[2]REESTR_MO!#REF!</definedName>
    <definedName name="MO_LIST_36" localSheetId="43">[2]REESTR_MO!#REF!</definedName>
    <definedName name="MO_LIST_36">[2]REESTR_MO!#REF!</definedName>
    <definedName name="MO_LIST_37" localSheetId="4">[2]REESTR_MO!#REF!</definedName>
    <definedName name="MO_LIST_37" localSheetId="5">[2]REESTR_MO!#REF!</definedName>
    <definedName name="MO_LIST_37" localSheetId="38">[2]REESTR_MO!#REF!</definedName>
    <definedName name="MO_LIST_37" localSheetId="40">[2]REESTR_MO!#REF!</definedName>
    <definedName name="MO_LIST_37" localSheetId="41">[2]REESTR_MO!#REF!</definedName>
    <definedName name="MO_LIST_37" localSheetId="42">[2]REESTR_MO!#REF!</definedName>
    <definedName name="MO_LIST_37" localSheetId="43">[2]REESTR_MO!#REF!</definedName>
    <definedName name="MO_LIST_37">[2]REESTR_MO!#REF!</definedName>
    <definedName name="MO_LIST_38" localSheetId="4">[2]REESTR_MO!#REF!</definedName>
    <definedName name="MO_LIST_38" localSheetId="5">[2]REESTR_MO!#REF!</definedName>
    <definedName name="MO_LIST_38" localSheetId="38">[2]REESTR_MO!#REF!</definedName>
    <definedName name="MO_LIST_38" localSheetId="40">[2]REESTR_MO!#REF!</definedName>
    <definedName name="MO_LIST_38" localSheetId="41">[2]REESTR_MO!#REF!</definedName>
    <definedName name="MO_LIST_38" localSheetId="42">[2]REESTR_MO!#REF!</definedName>
    <definedName name="MO_LIST_38" localSheetId="43">[2]REESTR_MO!#REF!</definedName>
    <definedName name="MO_LIST_38">[2]REESTR_MO!#REF!</definedName>
    <definedName name="MO_LIST_39" localSheetId="4">[2]REESTR_MO!#REF!</definedName>
    <definedName name="MO_LIST_39" localSheetId="5">[2]REESTR_MO!#REF!</definedName>
    <definedName name="MO_LIST_39" localSheetId="38">[2]REESTR_MO!#REF!</definedName>
    <definedName name="MO_LIST_39" localSheetId="40">[2]REESTR_MO!#REF!</definedName>
    <definedName name="MO_LIST_39" localSheetId="41">[2]REESTR_MO!#REF!</definedName>
    <definedName name="MO_LIST_39" localSheetId="42">[2]REESTR_MO!#REF!</definedName>
    <definedName name="MO_LIST_39" localSheetId="43">[2]REESTR_MO!#REF!</definedName>
    <definedName name="MO_LIST_39">[2]REESTR_MO!#REF!</definedName>
    <definedName name="MO_LIST_40" localSheetId="4">[2]REESTR_MO!#REF!</definedName>
    <definedName name="MO_LIST_40" localSheetId="5">[2]REESTR_MO!#REF!</definedName>
    <definedName name="MO_LIST_40" localSheetId="38">[2]REESTR_MO!#REF!</definedName>
    <definedName name="MO_LIST_40" localSheetId="40">[2]REESTR_MO!#REF!</definedName>
    <definedName name="MO_LIST_40" localSheetId="41">[2]REESTR_MO!#REF!</definedName>
    <definedName name="MO_LIST_40" localSheetId="42">[2]REESTR_MO!#REF!</definedName>
    <definedName name="MO_LIST_40" localSheetId="43">[2]REESTR_MO!#REF!</definedName>
    <definedName name="MO_LIST_40">[2]REESTR_MO!#REF!</definedName>
    <definedName name="MO_LIST_41" localSheetId="4">[2]REESTR_MO!#REF!</definedName>
    <definedName name="MO_LIST_41" localSheetId="5">[2]REESTR_MO!#REF!</definedName>
    <definedName name="MO_LIST_41" localSheetId="38">[2]REESTR_MO!#REF!</definedName>
    <definedName name="MO_LIST_41" localSheetId="40">[2]REESTR_MO!#REF!</definedName>
    <definedName name="MO_LIST_41" localSheetId="41">[2]REESTR_MO!#REF!</definedName>
    <definedName name="MO_LIST_41" localSheetId="42">[2]REESTR_MO!#REF!</definedName>
    <definedName name="MO_LIST_41" localSheetId="43">[2]REESTR_MO!#REF!</definedName>
    <definedName name="MO_LIST_41">[2]REESTR_MO!#REF!</definedName>
    <definedName name="MO_LIST_42" localSheetId="4">[2]REESTR_MO!#REF!</definedName>
    <definedName name="MO_LIST_42" localSheetId="5">[2]REESTR_MO!#REF!</definedName>
    <definedName name="MO_LIST_42" localSheetId="38">[2]REESTR_MO!#REF!</definedName>
    <definedName name="MO_LIST_42" localSheetId="40">[2]REESTR_MO!#REF!</definedName>
    <definedName name="MO_LIST_42" localSheetId="41">[2]REESTR_MO!#REF!</definedName>
    <definedName name="MO_LIST_42" localSheetId="42">[2]REESTR_MO!#REF!</definedName>
    <definedName name="MO_LIST_42" localSheetId="43">[2]REESTR_MO!#REF!</definedName>
    <definedName name="MO_LIST_42">[2]REESTR_MO!#REF!</definedName>
    <definedName name="MO_LIST_43" localSheetId="4">[2]REESTR_MO!#REF!</definedName>
    <definedName name="MO_LIST_43" localSheetId="5">[2]REESTR_MO!#REF!</definedName>
    <definedName name="MO_LIST_43" localSheetId="38">[2]REESTR_MO!#REF!</definedName>
    <definedName name="MO_LIST_43" localSheetId="40">[2]REESTR_MO!#REF!</definedName>
    <definedName name="MO_LIST_43" localSheetId="41">[2]REESTR_MO!#REF!</definedName>
    <definedName name="MO_LIST_43" localSheetId="42">[2]REESTR_MO!#REF!</definedName>
    <definedName name="MO_LIST_43" localSheetId="43">[2]REESTR_MO!#REF!</definedName>
    <definedName name="MO_LIST_43">[2]REESTR_MO!#REF!</definedName>
    <definedName name="MO_LIST_44" localSheetId="4">[2]REESTR_MO!#REF!</definedName>
    <definedName name="MO_LIST_44" localSheetId="5">[2]REESTR_MO!#REF!</definedName>
    <definedName name="MO_LIST_44" localSheetId="38">[2]REESTR_MO!#REF!</definedName>
    <definedName name="MO_LIST_44" localSheetId="40">[2]REESTR_MO!#REF!</definedName>
    <definedName name="MO_LIST_44" localSheetId="41">[2]REESTR_MO!#REF!</definedName>
    <definedName name="MO_LIST_44" localSheetId="42">[2]REESTR_MO!#REF!</definedName>
    <definedName name="MO_LIST_44" localSheetId="43">[2]REESTR_MO!#REF!</definedName>
    <definedName name="MO_LIST_44">[2]REESTR_MO!#REF!</definedName>
    <definedName name="MO_LIST_45" localSheetId="4">[2]REESTR_MO!#REF!</definedName>
    <definedName name="MO_LIST_45" localSheetId="5">[2]REESTR_MO!#REF!</definedName>
    <definedName name="MO_LIST_45" localSheetId="38">[2]REESTR_MO!#REF!</definedName>
    <definedName name="MO_LIST_45" localSheetId="40">[2]REESTR_MO!#REF!</definedName>
    <definedName name="MO_LIST_45" localSheetId="41">[2]REESTR_MO!#REF!</definedName>
    <definedName name="MO_LIST_45" localSheetId="42">[2]REESTR_MO!#REF!</definedName>
    <definedName name="MO_LIST_45" localSheetId="43">[2]REESTR_MO!#REF!</definedName>
    <definedName name="MO_LIST_45">[2]REESTR_MO!#REF!</definedName>
    <definedName name="MO_LIST_46" localSheetId="4">[2]REESTR_MO!#REF!</definedName>
    <definedName name="MO_LIST_46" localSheetId="5">[2]REESTR_MO!#REF!</definedName>
    <definedName name="MO_LIST_46" localSheetId="38">[2]REESTR_MO!#REF!</definedName>
    <definedName name="MO_LIST_46" localSheetId="40">[2]REESTR_MO!#REF!</definedName>
    <definedName name="MO_LIST_46" localSheetId="41">[2]REESTR_MO!#REF!</definedName>
    <definedName name="MO_LIST_46" localSheetId="42">[2]REESTR_MO!#REF!</definedName>
    <definedName name="MO_LIST_46" localSheetId="43">[2]REESTR_MO!#REF!</definedName>
    <definedName name="MO_LIST_46">[2]REESTR_MO!#REF!</definedName>
    <definedName name="MO_LIST_47" localSheetId="4">[2]REESTR_MO!#REF!</definedName>
    <definedName name="MO_LIST_47" localSheetId="5">[2]REESTR_MO!#REF!</definedName>
    <definedName name="MO_LIST_47" localSheetId="38">[2]REESTR_MO!#REF!</definedName>
    <definedName name="MO_LIST_47" localSheetId="40">[2]REESTR_MO!#REF!</definedName>
    <definedName name="MO_LIST_47" localSheetId="41">[2]REESTR_MO!#REF!</definedName>
    <definedName name="MO_LIST_47" localSheetId="42">[2]REESTR_MO!#REF!</definedName>
    <definedName name="MO_LIST_47" localSheetId="43">[2]REESTR_MO!#REF!</definedName>
    <definedName name="MO_LIST_47">[2]REESTR_MO!#REF!</definedName>
    <definedName name="MO_LIST_48" localSheetId="4">[2]REESTR_MO!#REF!</definedName>
    <definedName name="MO_LIST_48" localSheetId="5">[2]REESTR_MO!#REF!</definedName>
    <definedName name="MO_LIST_48" localSheetId="38">[2]REESTR_MO!#REF!</definedName>
    <definedName name="MO_LIST_48" localSheetId="40">[2]REESTR_MO!#REF!</definedName>
    <definedName name="MO_LIST_48" localSheetId="41">[2]REESTR_MO!#REF!</definedName>
    <definedName name="MO_LIST_48" localSheetId="42">[2]REESTR_MO!#REF!</definedName>
    <definedName name="MO_LIST_48" localSheetId="43">[2]REESTR_MO!#REF!</definedName>
    <definedName name="MO_LIST_48">[2]REESTR_MO!#REF!</definedName>
    <definedName name="MO_LIST_49" localSheetId="4">[2]REESTR_MO!#REF!</definedName>
    <definedName name="MO_LIST_49" localSheetId="5">[2]REESTR_MO!#REF!</definedName>
    <definedName name="MO_LIST_49" localSheetId="38">[2]REESTR_MO!#REF!</definedName>
    <definedName name="MO_LIST_49" localSheetId="40">[2]REESTR_MO!#REF!</definedName>
    <definedName name="MO_LIST_49" localSheetId="41">[2]REESTR_MO!#REF!</definedName>
    <definedName name="MO_LIST_49" localSheetId="42">[2]REESTR_MO!#REF!</definedName>
    <definedName name="MO_LIST_49" localSheetId="43">[2]REESTR_MO!#REF!</definedName>
    <definedName name="MO_LIST_49">[2]REESTR_MO!#REF!</definedName>
    <definedName name="MO_LIST_50" localSheetId="4">[2]REESTR_MO!#REF!</definedName>
    <definedName name="MO_LIST_50" localSheetId="5">[2]REESTR_MO!#REF!</definedName>
    <definedName name="MO_LIST_50" localSheetId="38">[2]REESTR_MO!#REF!</definedName>
    <definedName name="MO_LIST_50" localSheetId="40">[2]REESTR_MO!#REF!</definedName>
    <definedName name="MO_LIST_50" localSheetId="41">[2]REESTR_MO!#REF!</definedName>
    <definedName name="MO_LIST_50" localSheetId="42">[2]REESTR_MO!#REF!</definedName>
    <definedName name="MO_LIST_50" localSheetId="43">[2]REESTR_MO!#REF!</definedName>
    <definedName name="MO_LIST_50">[2]REESTR_MO!#REF!</definedName>
    <definedName name="MO_LIST_51" localSheetId="4">[2]REESTR_MO!#REF!</definedName>
    <definedName name="MO_LIST_51" localSheetId="5">[2]REESTR_MO!#REF!</definedName>
    <definedName name="MO_LIST_51" localSheetId="38">[2]REESTR_MO!#REF!</definedName>
    <definedName name="MO_LIST_51" localSheetId="40">[2]REESTR_MO!#REF!</definedName>
    <definedName name="MO_LIST_51" localSheetId="41">[2]REESTR_MO!#REF!</definedName>
    <definedName name="MO_LIST_51" localSheetId="42">[2]REESTR_MO!#REF!</definedName>
    <definedName name="MO_LIST_51" localSheetId="43">[2]REESTR_MO!#REF!</definedName>
    <definedName name="MO_LIST_51">[2]REESTR_MO!#REF!</definedName>
    <definedName name="MO_LIST_52" localSheetId="4">[2]REESTR_MO!#REF!</definedName>
    <definedName name="MO_LIST_52" localSheetId="5">[2]REESTR_MO!#REF!</definedName>
    <definedName name="MO_LIST_52" localSheetId="38">[2]REESTR_MO!#REF!</definedName>
    <definedName name="MO_LIST_52" localSheetId="40">[2]REESTR_MO!#REF!</definedName>
    <definedName name="MO_LIST_52" localSheetId="41">[2]REESTR_MO!#REF!</definedName>
    <definedName name="MO_LIST_52" localSheetId="42">[2]REESTR_MO!#REF!</definedName>
    <definedName name="MO_LIST_52" localSheetId="43">[2]REESTR_MO!#REF!</definedName>
    <definedName name="MO_LIST_52">[2]REESTR_MO!#REF!</definedName>
    <definedName name="MO_LIST_53" localSheetId="4">[2]REESTR_MO!#REF!</definedName>
    <definedName name="MO_LIST_53" localSheetId="5">[2]REESTR_MO!#REF!</definedName>
    <definedName name="MO_LIST_53" localSheetId="38">[2]REESTR_MO!#REF!</definedName>
    <definedName name="MO_LIST_53" localSheetId="40">[2]REESTR_MO!#REF!</definedName>
    <definedName name="MO_LIST_53" localSheetId="41">[2]REESTR_MO!#REF!</definedName>
    <definedName name="MO_LIST_53" localSheetId="42">[2]REESTR_MO!#REF!</definedName>
    <definedName name="MO_LIST_53" localSheetId="43">[2]REESTR_MO!#REF!</definedName>
    <definedName name="MO_LIST_53">[2]REESTR_MO!#REF!</definedName>
    <definedName name="MO_LIST_54" localSheetId="4">[2]REESTR_MO!#REF!</definedName>
    <definedName name="MO_LIST_54" localSheetId="5">[2]REESTR_MO!#REF!</definedName>
    <definedName name="MO_LIST_54" localSheetId="38">[2]REESTR_MO!#REF!</definedName>
    <definedName name="MO_LIST_54" localSheetId="40">[2]REESTR_MO!#REF!</definedName>
    <definedName name="MO_LIST_54" localSheetId="41">[2]REESTR_MO!#REF!</definedName>
    <definedName name="MO_LIST_54" localSheetId="42">[2]REESTR_MO!#REF!</definedName>
    <definedName name="MO_LIST_54" localSheetId="43">[2]REESTR_MO!#REF!</definedName>
    <definedName name="MO_LIST_54">[2]REESTR_MO!#REF!</definedName>
    <definedName name="MO_LIST_55" localSheetId="4">[2]REESTR_MO!#REF!</definedName>
    <definedName name="MO_LIST_55" localSheetId="5">[2]REESTR_MO!#REF!</definedName>
    <definedName name="MO_LIST_55" localSheetId="38">[2]REESTR_MO!#REF!</definedName>
    <definedName name="MO_LIST_55" localSheetId="40">[2]REESTR_MO!#REF!</definedName>
    <definedName name="MO_LIST_55" localSheetId="41">[2]REESTR_MO!#REF!</definedName>
    <definedName name="MO_LIST_55" localSheetId="42">[2]REESTR_MO!#REF!</definedName>
    <definedName name="MO_LIST_55" localSheetId="43">[2]REESTR_MO!#REF!</definedName>
    <definedName name="MO_LIST_55">[2]REESTR_MO!#REF!</definedName>
    <definedName name="MO_LIST_56" localSheetId="4">[2]REESTR_MO!#REF!</definedName>
    <definedName name="MO_LIST_56" localSheetId="5">[2]REESTR_MO!#REF!</definedName>
    <definedName name="MO_LIST_56" localSheetId="38">[2]REESTR_MO!#REF!</definedName>
    <definedName name="MO_LIST_56" localSheetId="40">[2]REESTR_MO!#REF!</definedName>
    <definedName name="MO_LIST_56" localSheetId="41">[2]REESTR_MO!#REF!</definedName>
    <definedName name="MO_LIST_56" localSheetId="42">[2]REESTR_MO!#REF!</definedName>
    <definedName name="MO_LIST_56" localSheetId="43">[2]REESTR_MO!#REF!</definedName>
    <definedName name="MO_LIST_56">[2]REESTR_MO!#REF!</definedName>
    <definedName name="MO_LIST_57" localSheetId="4">[2]REESTR_MO!#REF!</definedName>
    <definedName name="MO_LIST_57" localSheetId="5">[2]REESTR_MO!#REF!</definedName>
    <definedName name="MO_LIST_57" localSheetId="38">[2]REESTR_MO!#REF!</definedName>
    <definedName name="MO_LIST_57" localSheetId="40">[2]REESTR_MO!#REF!</definedName>
    <definedName name="MO_LIST_57" localSheetId="41">[2]REESTR_MO!#REF!</definedName>
    <definedName name="MO_LIST_57" localSheetId="42">[2]REESTR_MO!#REF!</definedName>
    <definedName name="MO_LIST_57" localSheetId="43">[2]REESTR_MO!#REF!</definedName>
    <definedName name="MO_LIST_57">[2]REESTR_MO!#REF!</definedName>
    <definedName name="MO_LIST_58" localSheetId="4">[2]REESTR_MO!#REF!</definedName>
    <definedName name="MO_LIST_58" localSheetId="5">[2]REESTR_MO!#REF!</definedName>
    <definedName name="MO_LIST_58" localSheetId="38">[2]REESTR_MO!#REF!</definedName>
    <definedName name="MO_LIST_58" localSheetId="40">[2]REESTR_MO!#REF!</definedName>
    <definedName name="MO_LIST_58" localSheetId="41">[2]REESTR_MO!#REF!</definedName>
    <definedName name="MO_LIST_58" localSheetId="42">[2]REESTR_MO!#REF!</definedName>
    <definedName name="MO_LIST_58" localSheetId="43">[2]REESTR_MO!#REF!</definedName>
    <definedName name="MO_LIST_58">[2]REESTR_MO!#REF!</definedName>
    <definedName name="MO_LIST_59" localSheetId="4">[2]REESTR_MO!#REF!</definedName>
    <definedName name="MO_LIST_59" localSheetId="5">[2]REESTR_MO!#REF!</definedName>
    <definedName name="MO_LIST_59" localSheetId="38">[2]REESTR_MO!#REF!</definedName>
    <definedName name="MO_LIST_59" localSheetId="40">[2]REESTR_MO!#REF!</definedName>
    <definedName name="MO_LIST_59" localSheetId="41">[2]REESTR_MO!#REF!</definedName>
    <definedName name="MO_LIST_59" localSheetId="42">[2]REESTR_MO!#REF!</definedName>
    <definedName name="MO_LIST_59" localSheetId="43">[2]REESTR_MO!#REF!</definedName>
    <definedName name="MO_LIST_59">[2]REESTR_MO!#REF!</definedName>
    <definedName name="MO_LIST_60" localSheetId="4">[2]REESTR_MO!#REF!</definedName>
    <definedName name="MO_LIST_60" localSheetId="5">[2]REESTR_MO!#REF!</definedName>
    <definedName name="MO_LIST_60" localSheetId="38">[2]REESTR_MO!#REF!</definedName>
    <definedName name="MO_LIST_60" localSheetId="40">[2]REESTR_MO!#REF!</definedName>
    <definedName name="MO_LIST_60" localSheetId="41">[2]REESTR_MO!#REF!</definedName>
    <definedName name="MO_LIST_60" localSheetId="42">[2]REESTR_MO!#REF!</definedName>
    <definedName name="MO_LIST_60" localSheetId="43">[2]REESTR_MO!#REF!</definedName>
    <definedName name="MO_LIST_60">[2]REESTR_MO!#REF!</definedName>
    <definedName name="MO_LIST_61" localSheetId="4">[2]REESTR_MO!#REF!</definedName>
    <definedName name="MO_LIST_61" localSheetId="5">[2]REESTR_MO!#REF!</definedName>
    <definedName name="MO_LIST_61" localSheetId="38">[2]REESTR_MO!#REF!</definedName>
    <definedName name="MO_LIST_61" localSheetId="40">[2]REESTR_MO!#REF!</definedName>
    <definedName name="MO_LIST_61" localSheetId="41">[2]REESTR_MO!#REF!</definedName>
    <definedName name="MO_LIST_61" localSheetId="42">[2]REESTR_MO!#REF!</definedName>
    <definedName name="MO_LIST_61" localSheetId="43">[2]REESTR_MO!#REF!</definedName>
    <definedName name="MO_LIST_61">[2]REESTR_MO!#REF!</definedName>
    <definedName name="MO_LIST_62" localSheetId="4">[2]REESTR_MO!#REF!</definedName>
    <definedName name="MO_LIST_62" localSheetId="5">[2]REESTR_MO!#REF!</definedName>
    <definedName name="MO_LIST_62" localSheetId="38">[2]REESTR_MO!#REF!</definedName>
    <definedName name="MO_LIST_62" localSheetId="40">[2]REESTR_MO!#REF!</definedName>
    <definedName name="MO_LIST_62" localSheetId="41">[2]REESTR_MO!#REF!</definedName>
    <definedName name="MO_LIST_62" localSheetId="42">[2]REESTR_MO!#REF!</definedName>
    <definedName name="MO_LIST_62" localSheetId="43">[2]REESTR_MO!#REF!</definedName>
    <definedName name="MO_LIST_62">[2]REESTR_MO!#REF!</definedName>
    <definedName name="MO_LIST_63" localSheetId="4">[2]REESTR_MO!#REF!</definedName>
    <definedName name="MO_LIST_63" localSheetId="5">[2]REESTR_MO!#REF!</definedName>
    <definedName name="MO_LIST_63" localSheetId="38">[2]REESTR_MO!#REF!</definedName>
    <definedName name="MO_LIST_63" localSheetId="40">[2]REESTR_MO!#REF!</definedName>
    <definedName name="MO_LIST_63" localSheetId="41">[2]REESTR_MO!#REF!</definedName>
    <definedName name="MO_LIST_63" localSheetId="42">[2]REESTR_MO!#REF!</definedName>
    <definedName name="MO_LIST_63" localSheetId="43">[2]REESTR_MO!#REF!</definedName>
    <definedName name="MO_LIST_63">[2]REESTR_MO!#REF!</definedName>
    <definedName name="MO_LIST_64" localSheetId="4">[2]REESTR_MO!#REF!</definedName>
    <definedName name="MO_LIST_64" localSheetId="5">[2]REESTR_MO!#REF!</definedName>
    <definedName name="MO_LIST_64" localSheetId="38">[2]REESTR_MO!#REF!</definedName>
    <definedName name="MO_LIST_64" localSheetId="40">[2]REESTR_MO!#REF!</definedName>
    <definedName name="MO_LIST_64" localSheetId="41">[2]REESTR_MO!#REF!</definedName>
    <definedName name="MO_LIST_64" localSheetId="42">[2]REESTR_MO!#REF!</definedName>
    <definedName name="MO_LIST_64" localSheetId="43">[2]REESTR_MO!#REF!</definedName>
    <definedName name="MO_LIST_64">[2]REESTR_MO!#REF!</definedName>
    <definedName name="MO_LIST_65" localSheetId="4">[2]REESTR_MO!#REF!</definedName>
    <definedName name="MO_LIST_65" localSheetId="5">[2]REESTR_MO!#REF!</definedName>
    <definedName name="MO_LIST_65" localSheetId="38">[2]REESTR_MO!#REF!</definedName>
    <definedName name="MO_LIST_65" localSheetId="40">[2]REESTR_MO!#REF!</definedName>
    <definedName name="MO_LIST_65" localSheetId="41">[2]REESTR_MO!#REF!</definedName>
    <definedName name="MO_LIST_65" localSheetId="42">[2]REESTR_MO!#REF!</definedName>
    <definedName name="MO_LIST_65" localSheetId="43">[2]REESTR_MO!#REF!</definedName>
    <definedName name="MO_LIST_65">[2]REESTR_MO!#REF!</definedName>
    <definedName name="MO_LIST_66" localSheetId="4">[2]REESTR_MO!#REF!</definedName>
    <definedName name="MO_LIST_66" localSheetId="5">[2]REESTR_MO!#REF!</definedName>
    <definedName name="MO_LIST_66" localSheetId="38">[2]REESTR_MO!#REF!</definedName>
    <definedName name="MO_LIST_66" localSheetId="40">[2]REESTR_MO!#REF!</definedName>
    <definedName name="MO_LIST_66" localSheetId="41">[2]REESTR_MO!#REF!</definedName>
    <definedName name="MO_LIST_66" localSheetId="42">[2]REESTR_MO!#REF!</definedName>
    <definedName name="MO_LIST_66" localSheetId="43">[2]REESTR_MO!#REF!</definedName>
    <definedName name="MO_LIST_66">[2]REESTR_MO!#REF!</definedName>
    <definedName name="MO_LIST_67" localSheetId="4">[2]REESTR_MO!#REF!</definedName>
    <definedName name="MO_LIST_67" localSheetId="5">[2]REESTR_MO!#REF!</definedName>
    <definedName name="MO_LIST_67" localSheetId="38">[2]REESTR_MO!#REF!</definedName>
    <definedName name="MO_LIST_67" localSheetId="40">[2]REESTR_MO!#REF!</definedName>
    <definedName name="MO_LIST_67" localSheetId="41">[2]REESTR_MO!#REF!</definedName>
    <definedName name="MO_LIST_67" localSheetId="42">[2]REESTR_MO!#REF!</definedName>
    <definedName name="MO_LIST_67" localSheetId="43">[2]REESTR_MO!#REF!</definedName>
    <definedName name="MO_LIST_67">[2]REESTR_MO!#REF!</definedName>
    <definedName name="MO_LIST_68" localSheetId="4">[2]REESTR_MO!#REF!</definedName>
    <definedName name="MO_LIST_68" localSheetId="5">[2]REESTR_MO!#REF!</definedName>
    <definedName name="MO_LIST_68" localSheetId="38">[2]REESTR_MO!#REF!</definedName>
    <definedName name="MO_LIST_68" localSheetId="40">[2]REESTR_MO!#REF!</definedName>
    <definedName name="MO_LIST_68" localSheetId="41">[2]REESTR_MO!#REF!</definedName>
    <definedName name="MO_LIST_68" localSheetId="42">[2]REESTR_MO!#REF!</definedName>
    <definedName name="MO_LIST_68" localSheetId="43">[2]REESTR_MO!#REF!</definedName>
    <definedName name="MO_LIST_68">[2]REESTR_MO!#REF!</definedName>
    <definedName name="MO_LIST_69" localSheetId="4">[2]REESTR_MO!#REF!</definedName>
    <definedName name="MO_LIST_69" localSheetId="5">[2]REESTR_MO!#REF!</definedName>
    <definedName name="MO_LIST_69" localSheetId="38">[2]REESTR_MO!#REF!</definedName>
    <definedName name="MO_LIST_69" localSheetId="40">[2]REESTR_MO!#REF!</definedName>
    <definedName name="MO_LIST_69" localSheetId="41">[2]REESTR_MO!#REF!</definedName>
    <definedName name="MO_LIST_69" localSheetId="42">[2]REESTR_MO!#REF!</definedName>
    <definedName name="MO_LIST_69" localSheetId="43">[2]REESTR_MO!#REF!</definedName>
    <definedName name="MO_LIST_69">[2]REESTR_MO!#REF!</definedName>
    <definedName name="MO_LIST_70" localSheetId="4">[2]REESTR_MO!#REF!</definedName>
    <definedName name="MO_LIST_70" localSheetId="5">[2]REESTR_MO!#REF!</definedName>
    <definedName name="MO_LIST_70" localSheetId="38">[2]REESTR_MO!#REF!</definedName>
    <definedName name="MO_LIST_70" localSheetId="40">[2]REESTR_MO!#REF!</definedName>
    <definedName name="MO_LIST_70" localSheetId="41">[2]REESTR_MO!#REF!</definedName>
    <definedName name="MO_LIST_70" localSheetId="42">[2]REESTR_MO!#REF!</definedName>
    <definedName name="MO_LIST_70" localSheetId="43">[2]REESTR_MO!#REF!</definedName>
    <definedName name="MO_LIST_70">[2]REESTR_MO!#REF!</definedName>
    <definedName name="MO_LIST_8">[2]REESTR_MO!$B$62:$B$74</definedName>
    <definedName name="MONTH_LIST">[2]TECHSHEET!$E$17:$E$28</definedName>
    <definedName name="napr_list">[1]TEHSHEET!$L$2:$L$5</definedName>
    <definedName name="NTKU1X_AUTHORISATION_RANGE" localSheetId="4">#REF!</definedName>
    <definedName name="NTKU1X_AUTHORISATION_RANGE" localSheetId="5">#REF!</definedName>
    <definedName name="NTKU1X_AUTHORISATION_RANGE" localSheetId="38">#REF!</definedName>
    <definedName name="NTKU1X_AUTHORISATION_RANGE" localSheetId="40">#REF!</definedName>
    <definedName name="NTKU1X_AUTHORISATION_RANGE" localSheetId="41">#REF!</definedName>
    <definedName name="NTKU1X_AUTHORISATION_RANGE" localSheetId="42">#REF!</definedName>
    <definedName name="NTKU1X_AUTHORISATION_RANGE" localSheetId="43">#REF!</definedName>
    <definedName name="NTKU1X_AUTHORISATION_RANGE">#REF!</definedName>
    <definedName name="okopf_list">[1]OKOPF!$A$2:$A$95</definedName>
    <definedName name="org" localSheetId="0">[1]Титульный!$F$9</definedName>
    <definedName name="ORG">[2]Титульный!$E$9</definedName>
    <definedName name="ORG_DOP">[2]Титульный!$E$32</definedName>
    <definedName name="P_L1">'[2]Регионы аналоги'!$F$16</definedName>
    <definedName name="P_L10">'[2]Регионы аналоги'!$K$26</definedName>
    <definedName name="P_L2">'[2]Регионы аналоги'!$G$16</definedName>
    <definedName name="P_L3">'[2]Регионы аналоги'!$H$16</definedName>
    <definedName name="P_L4">'[2]Регионы аналоги'!$I$16</definedName>
    <definedName name="P_L5">'[2]Регионы аналоги'!$F$26</definedName>
    <definedName name="P_L6">'[2]Регионы аналоги'!$G$26</definedName>
    <definedName name="P_L7">'[2]Регионы аналоги'!$H$26</definedName>
    <definedName name="P_L8">'[2]Регионы аналоги'!$I$26</definedName>
    <definedName name="P_L9">'[2]Регионы аналоги'!$J$26</definedName>
    <definedName name="P12_T28_Protection" localSheetId="4">P1_T28_Protection,P2_T28_Protection,P3_T28_Protection,P4_T28_Protection,P5_T28_Protection,P6_T28_Protection,P7_T28_Protection,P8_T28_Protection</definedName>
    <definedName name="P12_T28_Protection" localSheetId="5">P1_T28_Protection,P2_T28_Protection,P3_T28_Protection,P4_T28_Protection,P5_T28_Protection,P6_T28_Protection,P7_T28_Protection,P8_T28_Protection</definedName>
    <definedName name="P12_T28_Protection" localSheetId="38">P1_T28_Protection,P2_T28_Protection,P3_T28_Protection,P4_T28_Protection,P5_T28_Protection,P6_T28_Protection,P7_T28_Protection,P8_T28_Protection</definedName>
    <definedName name="P12_T28_Protection" localSheetId="40">P1_T28_Protection,P2_T28_Protection,P3_T28_Protection,P4_T28_Protection,P5_T28_Protection,P6_T28_Protection,P7_T28_Protection,P8_T28_Protection</definedName>
    <definedName name="P12_T28_Protection" localSheetId="41">P1_T28_Protection,P2_T28_Protection,P3_T28_Protection,P4_T28_Protection,P5_T28_Protection,P6_T28_Protection,P7_T28_Protection,P8_T28_Protection</definedName>
    <definedName name="P12_T28_Protection" localSheetId="42">P1_T28_Protection,P2_T28_Protection,P3_T28_Protection,P4_T28_Protection,P5_T28_Protection,P6_T28_Protection,P7_T28_Protection,P8_T28_Protection</definedName>
    <definedName name="P12_T28_Protection" localSheetId="43">P1_T28_Protection,P2_T28_Protection,P3_T28_Protection,P4_T28_Protection,P5_T28_Protection,P6_T28_Protection,P7_T28_Protection,P8_T28_Protection</definedName>
    <definedName name="P12_T28_Protection" localSheetId="0">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6_SCOPE_FULL_LOAD" localSheetId="4" hidden="1">P2_SCOPE_FULL_LOAD,P3_SCOPE_FULL_LOAD,P4_SCOPE_FULL_LOAD,P5_SCOPE_FULL_LOAD,P6_SCOPE_FULL_LOAD,P7_SCOPE_FULL_LOAD,P8_SCOPE_FULL_LOAD</definedName>
    <definedName name="P16_SCOPE_FULL_LOAD" localSheetId="5" hidden="1">P2_SCOPE_FULL_LOAD,P3_SCOPE_FULL_LOAD,P4_SCOPE_FULL_LOAD,P5_SCOPE_FULL_LOAD,P6_SCOPE_FULL_LOAD,P7_SCOPE_FULL_LOAD,P8_SCOPE_FULL_LOAD</definedName>
    <definedName name="P16_SCOPE_FULL_LOAD" localSheetId="38" hidden="1">P2_SCOPE_FULL_LOAD,P3_SCOPE_FULL_LOAD,P4_SCOPE_FULL_LOAD,P5_SCOPE_FULL_LOAD,P6_SCOPE_FULL_LOAD,P7_SCOPE_FULL_LOAD,P8_SCOPE_FULL_LOAD</definedName>
    <definedName name="P16_SCOPE_FULL_LOAD" localSheetId="40" hidden="1">P2_SCOPE_FULL_LOAD,P3_SCOPE_FULL_LOAD,P4_SCOPE_FULL_LOAD,P5_SCOPE_FULL_LOAD,P6_SCOPE_FULL_LOAD,P7_SCOPE_FULL_LOAD,P8_SCOPE_FULL_LOAD</definedName>
    <definedName name="P16_SCOPE_FULL_LOAD" localSheetId="41" hidden="1">P2_SCOPE_FULL_LOAD,P3_SCOPE_FULL_LOAD,P4_SCOPE_FULL_LOAD,P5_SCOPE_FULL_LOAD,P6_SCOPE_FULL_LOAD,P7_SCOPE_FULL_LOAD,P8_SCOPE_FULL_LOAD</definedName>
    <definedName name="P16_SCOPE_FULL_LOAD" localSheetId="42" hidden="1">P2_SCOPE_FULL_LOAD,P3_SCOPE_FULL_LOAD,P4_SCOPE_FULL_LOAD,P5_SCOPE_FULL_LOAD,P6_SCOPE_FULL_LOAD,P7_SCOPE_FULL_LOAD,P8_SCOPE_FULL_LOAD</definedName>
    <definedName name="P16_SCOPE_FULL_LOAD" localSheetId="43" hidden="1">P2_SCOPE_FULL_LOAD,P3_SCOPE_FULL_LOAD,P4_SCOPE_FULL_LOAD,P5_SCOPE_FULL_LOAD,P6_SCOPE_FULL_LOAD,P7_SCOPE_FULL_LOAD,P8_SCOPE_FULL_LOAD</definedName>
    <definedName name="P16_SCOPE_FULL_LOAD" localSheetId="0"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7_SCOPE_FULL_LOAD" localSheetId="4" hidden="1">P9_SCOPE_FULL_LOAD,P10_SCOPE_FULL_LOAD,P11_SCOPE_FULL_LOAD,P12_SCOPE_FULL_LOAD,P13_SCOPE_FULL_LOAD,P14_SCOPE_FULL_LOAD,P15_SCOPE_FULL_LOAD</definedName>
    <definedName name="P17_SCOPE_FULL_LOAD" localSheetId="5" hidden="1">P9_SCOPE_FULL_LOAD,P10_SCOPE_FULL_LOAD,P11_SCOPE_FULL_LOAD,P12_SCOPE_FULL_LOAD,P13_SCOPE_FULL_LOAD,P14_SCOPE_FULL_LOAD,P15_SCOPE_FULL_LOAD</definedName>
    <definedName name="P17_SCOPE_FULL_LOAD" localSheetId="38" hidden="1">P9_SCOPE_FULL_LOAD,P10_SCOPE_FULL_LOAD,P11_SCOPE_FULL_LOAD,P12_SCOPE_FULL_LOAD,P13_SCOPE_FULL_LOAD,P14_SCOPE_FULL_LOAD,P15_SCOPE_FULL_LOAD</definedName>
    <definedName name="P17_SCOPE_FULL_LOAD" localSheetId="40" hidden="1">P9_SCOPE_FULL_LOAD,P10_SCOPE_FULL_LOAD,P11_SCOPE_FULL_LOAD,P12_SCOPE_FULL_LOAD,P13_SCOPE_FULL_LOAD,P14_SCOPE_FULL_LOAD,P15_SCOPE_FULL_LOAD</definedName>
    <definedName name="P17_SCOPE_FULL_LOAD" localSheetId="41" hidden="1">P9_SCOPE_FULL_LOAD,P10_SCOPE_FULL_LOAD,P11_SCOPE_FULL_LOAD,P12_SCOPE_FULL_LOAD,P13_SCOPE_FULL_LOAD,P14_SCOPE_FULL_LOAD,P15_SCOPE_FULL_LOAD</definedName>
    <definedName name="P17_SCOPE_FULL_LOAD" localSheetId="42" hidden="1">P9_SCOPE_FULL_LOAD,P10_SCOPE_FULL_LOAD,P11_SCOPE_FULL_LOAD,P12_SCOPE_FULL_LOAD,P13_SCOPE_FULL_LOAD,P14_SCOPE_FULL_LOAD,P15_SCOPE_FULL_LOAD</definedName>
    <definedName name="P17_SCOPE_FULL_LOAD" localSheetId="43" hidden="1">P9_SCOPE_FULL_LOAD,P10_SCOPE_FULL_LOAD,P11_SCOPE_FULL_LOAD,P12_SCOPE_FULL_LOAD,P13_SCOPE_FULL_LOAD,P14_SCOPE_FULL_LOAD,P15_SCOPE_FULL_LOAD</definedName>
    <definedName name="P17_SCOPE_FULL_LOAD" localSheetId="0" hidden="1">P9_SCOPE_FULL_LOAD,P10_SCOPE_FULL_LOAD,P11_SCOPE_FULL_LOAD,P12_SCOPE_FULL_LOAD,P13_SCOPE_FULL_LOAD,P14_SCOPE_FULL_LOAD,P15_SCOPE_FULL_LOAD</definedName>
    <definedName name="P17_SCOPE_FULL_LOAD" hidden="1">P9_SCOPE_FULL_LOAD,P10_SCOPE_FULL_LOAD,P11_SCOPE_FULL_LOAD,P12_SCOPE_FULL_LOAD,P13_SCOPE_FULL_LOAD,P14_SCOPE_FULL_LOAD,P15_SCOPE_FULL_LOAD</definedName>
    <definedName name="P19_T1_Protect" localSheetId="4">P5_T1_Protect,P6_T1_Protect,P7_T1_Protect,P8_T1_Protect,P9_T1_Protect,P10_T1_Protect,P11_T1_Protect,P12_T1_Protect,P13_T1_Protect,P14_T1_Protect</definedName>
    <definedName name="P19_T1_Protect" localSheetId="5">P5_T1_Protect,P6_T1_Protect,P7_T1_Protect,P8_T1_Protect,P9_T1_Protect,P10_T1_Protect,P11_T1_Protect,P12_T1_Protect,P13_T1_Protect,P14_T1_Protect</definedName>
    <definedName name="P19_T1_Protect" localSheetId="38">P5_T1_Protect,P6_T1_Protect,P7_T1_Protect,P8_T1_Protect,P9_T1_Protect,P10_T1_Protect,P11_T1_Protect,P12_T1_Protect,P13_T1_Protect,P14_T1_Protect</definedName>
    <definedName name="P19_T1_Protect" localSheetId="40">P5_T1_Protect,P6_T1_Protect,P7_T1_Protect,P8_T1_Protect,P9_T1_Protect,P10_T1_Protect,P11_T1_Protect,P12_T1_Protect,P13_T1_Protect,P14_T1_Protect</definedName>
    <definedName name="P19_T1_Protect" localSheetId="41">P5_T1_Protect,P6_T1_Protect,P7_T1_Protect,P8_T1_Protect,P9_T1_Protect,P10_T1_Protect,P11_T1_Protect,P12_T1_Protect,P13_T1_Protect,P14_T1_Protect</definedName>
    <definedName name="P19_T1_Protect" localSheetId="42">P5_T1_Protect,P6_T1_Protect,P7_T1_Protect,P8_T1_Protect,P9_T1_Protect,P10_T1_Protect,P11_T1_Protect,P12_T1_Protect,P13_T1_Protect,P14_T1_Protect</definedName>
    <definedName name="P19_T1_Protect" localSheetId="43">P5_T1_Protect,P6_T1_Protect,P7_T1_Protect,P8_T1_Protect,P9_T1_Protect,P10_T1_Protect,P11_T1_Protect,P12_T1_Protect,P13_T1_Protect,P14_T1_Protect</definedName>
    <definedName name="P19_T1_Protect" localSheetId="0">P5_T1_Protect,P6_T1_Protect,P7_T1_Protect,P8_T1_Protect,P9_T1_Protect,P10_T1_Protect,P11_T1_Protect,P12_T1_Protect,P13_T1_Protect,P14_T1_Protect</definedName>
    <definedName name="P19_T1_Protect">P5_T1_Protect,P6_T1_Protect,P7_T1_Protect,P8_T1_Protect,P9_T1_Protect,P10_T1_Protect,P11_T1_Protect,P12_T1_Protect,P13_T1_Protect,P14_T1_Protect</definedName>
    <definedName name="P19_T2_Protect" localSheetId="4">P5_T1_Protect,P6_T1_Protect,P7_T1_Protect,P8_T1_Protect,P9_T1_Protect,P10_T1_Protect,P11_T1_Protect,P12_T1_Protect,P13_T1_Protect,P14_T1_Protect</definedName>
    <definedName name="P19_T2_Protect" localSheetId="5">P5_T1_Protect,P6_T1_Protect,P7_T1_Protect,P8_T1_Protect,P9_T1_Protect,P10_T1_Protect,P11_T1_Protect,P12_T1_Protect,P13_T1_Protect,P14_T1_Protect</definedName>
    <definedName name="P19_T2_Protect" localSheetId="38">P5_T1_Protect,P6_T1_Protect,P7_T1_Protect,P8_T1_Protect,P9_T1_Protect,P10_T1_Protect,P11_T1_Protect,P12_T1_Protect,P13_T1_Protect,P14_T1_Protect</definedName>
    <definedName name="P19_T2_Protect" localSheetId="40">P5_T1_Protect,P6_T1_Protect,P7_T1_Protect,P8_T1_Protect,P9_T1_Protect,P10_T1_Protect,P11_T1_Protect,P12_T1_Protect,P13_T1_Protect,P14_T1_Protect</definedName>
    <definedName name="P19_T2_Protect" localSheetId="41">P5_T1_Protect,P6_T1_Protect,P7_T1_Protect,P8_T1_Protect,P9_T1_Protect,P10_T1_Protect,P11_T1_Protect,P12_T1_Protect,P13_T1_Protect,P14_T1_Protect</definedName>
    <definedName name="P19_T2_Protect" localSheetId="42">P5_T1_Protect,P6_T1_Protect,P7_T1_Protect,P8_T1_Protect,P9_T1_Protect,P10_T1_Protect,P11_T1_Protect,P12_T1_Protect,P13_T1_Protect,P14_T1_Protect</definedName>
    <definedName name="P19_T2_Protect" localSheetId="43">P5_T1_Protect,P6_T1_Protect,P7_T1_Protect,P8_T1_Protect,P9_T1_Protect,P10_T1_Protect,P11_T1_Protect,P12_T1_Protect,P13_T1_Protect,P14_T1_Protect</definedName>
    <definedName name="P19_T2_Protect" localSheetId="0">P5_T1_Protect,P6_T1_Protect,P7_T1_Protect,P8_T1_Protect,P9_T1_Protect,P10_T1_Protect,P11_T1_Protect,P12_T1_Protect,P13_T1_Protect,P14_T1_Protect</definedName>
    <definedName name="P19_T2_Protect">P5_T1_Protect,P6_T1_Protect,P7_T1_Protect,P8_T1_Protect,P9_T1_Protect,P10_T1_Protect,P11_T1_Protect,P12_T1_Protect,P13_T1_Protect,P14_T1_Protect</definedName>
    <definedName name="pbStartPageNumber">1</definedName>
    <definedName name="pbUpdatePageNumbering">TRUE</definedName>
    <definedName name="PERIOD_LENGTH">[2]Титульный!$E$21</definedName>
    <definedName name="period_list">[1]TEHSHEET!$H$2:$H$4</definedName>
    <definedName name="pIns_List24_2">'34 Расчет НВВ по RAB'!$Q$1</definedName>
    <definedName name="pIns_List24_2_0">'34 Расчет НВВ по RAB'!$E$43</definedName>
    <definedName name="POSSIBLE_PERIOD_LENGTH">[2]TECHSHEET!$K$3:$K$6</definedName>
    <definedName name="POSSIBLE_PERIODS_5">[2]TECHSHEET!$K$23:$K$27</definedName>
    <definedName name="PROT_2" localSheetId="4">P2_PROT_2,P3_PROT_2</definedName>
    <definedName name="PROT_2" localSheetId="5">P2_PROT_2,P3_PROT_2</definedName>
    <definedName name="PROT_2" localSheetId="38">P2_PROT_2,P3_PROT_2</definedName>
    <definedName name="PROT_2" localSheetId="40">P2_PROT_2,P3_PROT_2</definedName>
    <definedName name="PROT_2" localSheetId="41">P2_PROT_2,P3_PROT_2</definedName>
    <definedName name="PROT_2" localSheetId="42">P2_PROT_2,P3_PROT_2</definedName>
    <definedName name="PROT_2" localSheetId="43">P2_PROT_2,P3_PROT_2</definedName>
    <definedName name="PROT_2" localSheetId="0">P2_PROT_2,P3_PROT_2</definedName>
    <definedName name="PROT_2">P2_PROT_2,P3_PROT_2</definedName>
    <definedName name="PROT_22" localSheetId="4">P3_PROT_22,P4_PROT_22,P5_PROT_22</definedName>
    <definedName name="PROT_22" localSheetId="5">P3_PROT_22,P4_PROT_22,P5_PROT_22</definedName>
    <definedName name="PROT_22" localSheetId="38">P3_PROT_22,P4_PROT_22,P5_PROT_22</definedName>
    <definedName name="PROT_22" localSheetId="40">P3_PROT_22,P4_PROT_22,P5_PROT_22</definedName>
    <definedName name="PROT_22" localSheetId="41">P3_PROT_22,P4_PROT_22,P5_PROT_22</definedName>
    <definedName name="PROT_22" localSheetId="42">P3_PROT_22,P4_PROT_22,P5_PROT_22</definedName>
    <definedName name="PROT_22" localSheetId="43">P3_PROT_22,P4_PROT_22,P5_PROT_22</definedName>
    <definedName name="PROT_22" localSheetId="0">P3_PROT_22,P4_PROT_22,P5_PROT_22</definedName>
    <definedName name="PROT_22">P3_PROT_22,P4_PROT_22,P5_PROT_22</definedName>
    <definedName name="rab_2_231">'34 Расчет НВВ по RAB'!$G:$P</definedName>
    <definedName name="rab_period_list2">[3]TEHSHEET!$AC$2:$AC$23</definedName>
    <definedName name="region_name" localSheetId="37">[3]Титульный!$F$7</definedName>
    <definedName name="region_name">[2]Титульный!$E$5</definedName>
    <definedName name="REGULATION_METHODS">[2]Титульный!$E$17</definedName>
    <definedName name="REPORT_OWNER">[2]Титульный!$E$7</definedName>
    <definedName name="SAPBEXhrIndnt" hidden="1">"Wide"</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COPE_16_PRT" localSheetId="4">P1_SCOPE_16_PRT,P2_SCOPE_16_PRT</definedName>
    <definedName name="SCOPE_16_PRT" localSheetId="5">P1_SCOPE_16_PRT,P2_SCOPE_16_PRT</definedName>
    <definedName name="SCOPE_16_PRT" localSheetId="38">P1_SCOPE_16_PRT,P2_SCOPE_16_PRT</definedName>
    <definedName name="SCOPE_16_PRT" localSheetId="40">P1_SCOPE_16_PRT,P2_SCOPE_16_PRT</definedName>
    <definedName name="SCOPE_16_PRT" localSheetId="41">P1_SCOPE_16_PRT,P2_SCOPE_16_PRT</definedName>
    <definedName name="SCOPE_16_PRT" localSheetId="42">P1_SCOPE_16_PRT,P2_SCOPE_16_PRT</definedName>
    <definedName name="SCOPE_16_PRT" localSheetId="43">P1_SCOPE_16_PRT,P2_SCOPE_16_PRT</definedName>
    <definedName name="SCOPE_16_PRT" localSheetId="0">P1_SCOPE_16_PRT,P2_SCOPE_16_PRT</definedName>
    <definedName name="SCOPE_16_PRT">P1_SCOPE_16_PRT,P2_SCOPE_16_PRT</definedName>
    <definedName name="Scope_17_PRT" localSheetId="4">P1_SCOPE_16_PRT,P2_SCOPE_16_PRT</definedName>
    <definedName name="Scope_17_PRT" localSheetId="5">P1_SCOPE_16_PRT,P2_SCOPE_16_PRT</definedName>
    <definedName name="Scope_17_PRT" localSheetId="38">P1_SCOPE_16_PRT,P2_SCOPE_16_PRT</definedName>
    <definedName name="Scope_17_PRT" localSheetId="40">P1_SCOPE_16_PRT,P2_SCOPE_16_PRT</definedName>
    <definedName name="Scope_17_PRT" localSheetId="41">P1_SCOPE_16_PRT,P2_SCOPE_16_PRT</definedName>
    <definedName name="Scope_17_PRT" localSheetId="42">P1_SCOPE_16_PRT,P2_SCOPE_16_PRT</definedName>
    <definedName name="Scope_17_PRT" localSheetId="43">P1_SCOPE_16_PRT,P2_SCOPE_16_PRT</definedName>
    <definedName name="Scope_17_PRT" localSheetId="0">P1_SCOPE_16_PRT,P2_SCOPE_16_PRT</definedName>
    <definedName name="Scope_17_PRT">P1_SCOPE_16_PRT,P2_SCOPE_16_PRT</definedName>
    <definedName name="SCOPE_FULL_LOAD" localSheetId="4">'1. Балансы ЭЭ и М'!P16_SCOPE_FULL_LOAD,'1. Балансы ЭЭ и М'!P17_SCOPE_FULL_LOAD</definedName>
    <definedName name="SCOPE_FULL_LOAD" localSheetId="5">'2.Котловые балансы'!P16_SCOPE_FULL_LOAD,'2.Котловые балансы'!P17_SCOPE_FULL_LOAD</definedName>
    <definedName name="SCOPE_FULL_LOAD" localSheetId="38">'35 Исполнение ИПР'!P16_SCOPE_FULL_LOAD,'35 Исполнение ИПР'!P17_SCOPE_FULL_LOAD</definedName>
    <definedName name="SCOPE_FULL_LOAD" localSheetId="40">'37 ФХД'!P16_SCOPE_FULL_LOAD,'37 ФХД'!P17_SCOPE_FULL_LOAD</definedName>
    <definedName name="SCOPE_FULL_LOAD" localSheetId="41">'38 ДПР'!P16_SCOPE_FULL_LOAD,'38 ДПР'!P17_SCOPE_FULL_LOAD</definedName>
    <definedName name="SCOPE_FULL_LOAD" localSheetId="42">'39 ИПЦ'!P16_SCOPE_FULL_LOAD,'39 ИПЦ'!P17_SCOPE_FULL_LOAD</definedName>
    <definedName name="SCOPE_FULL_LOAD" localSheetId="43">'40 Потери ээ'!P16_SCOPE_FULL_LOAD,'40 Потери ээ'!P17_SCOPE_FULL_LOAD</definedName>
    <definedName name="SCOPE_FULL_LOAD" localSheetId="0">'Расчеты к ПЗ'!P16_SCOPE_FULL_LOAD,'Расчеты к ПЗ'!P17_SCOPE_FULL_LOAD</definedName>
    <definedName name="SCOPE_FULL_LOAD">P16_SCOPE_FULL_LOAD,P17_SCOPE_FULL_LOAD</definedName>
    <definedName name="SCOPE_NOTIND" localSheetId="4">P1_SCOPE_NOTIND,P2_SCOPE_NOTIND,P3_SCOPE_NOTIND,P4_SCOPE_NOTIND,P5_SCOPE_NOTIND,P6_SCOPE_NOTIND,P7_SCOPE_NOTIND,P8_SCOPE_NOTIND</definedName>
    <definedName name="SCOPE_NOTIND" localSheetId="5">P1_SCOPE_NOTIND,P2_SCOPE_NOTIND,P3_SCOPE_NOTIND,P4_SCOPE_NOTIND,P5_SCOPE_NOTIND,P6_SCOPE_NOTIND,P7_SCOPE_NOTIND,P8_SCOPE_NOTIND</definedName>
    <definedName name="SCOPE_NOTIND" localSheetId="38">P1_SCOPE_NOTIND,P2_SCOPE_NOTIND,P3_SCOPE_NOTIND,P4_SCOPE_NOTIND,P5_SCOPE_NOTIND,P6_SCOPE_NOTIND,P7_SCOPE_NOTIND,P8_SCOPE_NOTIND</definedName>
    <definedName name="SCOPE_NOTIND" localSheetId="40">P1_SCOPE_NOTIND,P2_SCOPE_NOTIND,P3_SCOPE_NOTIND,P4_SCOPE_NOTIND,P5_SCOPE_NOTIND,P6_SCOPE_NOTIND,P7_SCOPE_NOTIND,P8_SCOPE_NOTIND</definedName>
    <definedName name="SCOPE_NOTIND" localSheetId="41">P1_SCOPE_NOTIND,P2_SCOPE_NOTIND,P3_SCOPE_NOTIND,P4_SCOPE_NOTIND,P5_SCOPE_NOTIND,P6_SCOPE_NOTIND,P7_SCOPE_NOTIND,P8_SCOPE_NOTIND</definedName>
    <definedName name="SCOPE_NOTIND" localSheetId="42">P1_SCOPE_NOTIND,P2_SCOPE_NOTIND,P3_SCOPE_NOTIND,P4_SCOPE_NOTIND,P5_SCOPE_NOTIND,P6_SCOPE_NOTIND,P7_SCOPE_NOTIND,P8_SCOPE_NOTIND</definedName>
    <definedName name="SCOPE_NOTIND" localSheetId="43">P1_SCOPE_NOTIND,P2_SCOPE_NOTIND,P3_SCOPE_NOTIND,P4_SCOPE_NOTIND,P5_SCOPE_NOTIND,P6_SCOPE_NOTIND,P7_SCOPE_NOTIND,P8_SCOPE_NOTIND</definedName>
    <definedName name="SCOPE_NOTIND" localSheetId="0">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4">P4_SCOPE_NotInd2,P5_SCOPE_NotInd2,P6_SCOPE_NotInd2,P7_SCOPE_NotInd2</definedName>
    <definedName name="SCOPE_NotInd2" localSheetId="5">P4_SCOPE_NotInd2,P5_SCOPE_NotInd2,P6_SCOPE_NotInd2,P7_SCOPE_NotInd2</definedName>
    <definedName name="SCOPE_NotInd2" localSheetId="38">P4_SCOPE_NotInd2,P5_SCOPE_NotInd2,P6_SCOPE_NotInd2,P7_SCOPE_NotInd2</definedName>
    <definedName name="SCOPE_NotInd2" localSheetId="40">P4_SCOPE_NotInd2,P5_SCOPE_NotInd2,P6_SCOPE_NotInd2,P7_SCOPE_NotInd2</definedName>
    <definedName name="SCOPE_NotInd2" localSheetId="41">P4_SCOPE_NotInd2,P5_SCOPE_NotInd2,P6_SCOPE_NotInd2,P7_SCOPE_NotInd2</definedName>
    <definedName name="SCOPE_NotInd2" localSheetId="42">P4_SCOPE_NotInd2,P5_SCOPE_NotInd2,P6_SCOPE_NotInd2,P7_SCOPE_NotInd2</definedName>
    <definedName name="SCOPE_NotInd2" localSheetId="43">P4_SCOPE_NotInd2,P5_SCOPE_NotInd2,P6_SCOPE_NotInd2,P7_SCOPE_NotInd2</definedName>
    <definedName name="SCOPE_NotInd2" localSheetId="0">P4_SCOPE_NotInd2,P5_SCOPE_NotInd2,P6_SCOPE_NotInd2,P7_SCOPE_NotInd2</definedName>
    <definedName name="SCOPE_NotInd2">P4_SCOPE_NotInd2,P5_SCOPE_NotInd2,P6_SCOPE_NotInd2,P7_SCOPE_NotInd2</definedName>
    <definedName name="SCOPE_PER_PRT" localSheetId="4">P5_SCOPE_PER_PRT,P6_SCOPE_PER_PRT,P7_SCOPE_PER_PRT,P8_SCOPE_PER_PRT</definedName>
    <definedName name="SCOPE_PER_PRT" localSheetId="5">P5_SCOPE_PER_PRT,P6_SCOPE_PER_PRT,P7_SCOPE_PER_PRT,P8_SCOPE_PER_PRT</definedName>
    <definedName name="SCOPE_PER_PRT" localSheetId="38">P5_SCOPE_PER_PRT,P6_SCOPE_PER_PRT,P7_SCOPE_PER_PRT,P8_SCOPE_PER_PRT</definedName>
    <definedName name="SCOPE_PER_PRT" localSheetId="40">P5_SCOPE_PER_PRT,P6_SCOPE_PER_PRT,P7_SCOPE_PER_PRT,P8_SCOPE_PER_PRT</definedName>
    <definedName name="SCOPE_PER_PRT" localSheetId="41">P5_SCOPE_PER_PRT,P6_SCOPE_PER_PRT,P7_SCOPE_PER_PRT,P8_SCOPE_PER_PRT</definedName>
    <definedName name="SCOPE_PER_PRT" localSheetId="42">P5_SCOPE_PER_PRT,P6_SCOPE_PER_PRT,P7_SCOPE_PER_PRT,P8_SCOPE_PER_PRT</definedName>
    <definedName name="SCOPE_PER_PRT" localSheetId="43">P5_SCOPE_PER_PRT,P6_SCOPE_PER_PRT,P7_SCOPE_PER_PRT,P8_SCOPE_PER_PRT</definedName>
    <definedName name="SCOPE_PER_PRT" localSheetId="0">P5_SCOPE_PER_PRT,P6_SCOPE_PER_PRT,P7_SCOPE_PER_PRT,P8_SCOPE_PER_PRT</definedName>
    <definedName name="SCOPE_PER_PRT">P5_SCOPE_PER_PRT,P6_SCOPE_PER_PRT,P7_SCOPE_PER_PRT,P8_SCOPE_PER_PRT</definedName>
    <definedName name="SCOPE_PROT1" localSheetId="4">P3_SCOPE_PROT1,P4_SCOPE_PROT1,P5_SCOPE_PROT1,P6_SCOPE_PROT1</definedName>
    <definedName name="SCOPE_PROT1" localSheetId="5">P3_SCOPE_PROT1,P4_SCOPE_PROT1,P5_SCOPE_PROT1,P6_SCOPE_PROT1</definedName>
    <definedName name="SCOPE_PROT1" localSheetId="38">P3_SCOPE_PROT1,P4_SCOPE_PROT1,P5_SCOPE_PROT1,P6_SCOPE_PROT1</definedName>
    <definedName name="SCOPE_PROT1" localSheetId="40">P3_SCOPE_PROT1,P4_SCOPE_PROT1,P5_SCOPE_PROT1,P6_SCOPE_PROT1</definedName>
    <definedName name="SCOPE_PROT1" localSheetId="41">P3_SCOPE_PROT1,P4_SCOPE_PROT1,P5_SCOPE_PROT1,P6_SCOPE_PROT1</definedName>
    <definedName name="SCOPE_PROT1" localSheetId="42">P3_SCOPE_PROT1,P4_SCOPE_PROT1,P5_SCOPE_PROT1,P6_SCOPE_PROT1</definedName>
    <definedName name="SCOPE_PROT1" localSheetId="43">P3_SCOPE_PROT1,P4_SCOPE_PROT1,P5_SCOPE_PROT1,P6_SCOPE_PROT1</definedName>
    <definedName name="SCOPE_PROT1" localSheetId="0">P3_SCOPE_PROT1,P4_SCOPE_PROT1,P5_SCOPE_PROT1,P6_SCOPE_PROT1</definedName>
    <definedName name="SCOPE_PROT1">P3_SCOPE_PROT1,P4_SCOPE_PROT1,P5_SCOPE_PROT1,P6_SCOPE_PROT1</definedName>
    <definedName name="SCOPE_PROT2" localSheetId="4">P1_SCOPE_PROT2,P2_SCOPE_PROT2,P3_SCOPE_PROT2,P4_SCOPE_PROT2,P5_SCOPE_PROT2</definedName>
    <definedName name="SCOPE_PROT2" localSheetId="5">P1_SCOPE_PROT2,P2_SCOPE_PROT2,P3_SCOPE_PROT2,P4_SCOPE_PROT2,P5_SCOPE_PROT2</definedName>
    <definedName name="SCOPE_PROT2" localSheetId="38">P1_SCOPE_PROT2,P2_SCOPE_PROT2,P3_SCOPE_PROT2,P4_SCOPE_PROT2,P5_SCOPE_PROT2</definedName>
    <definedName name="SCOPE_PROT2" localSheetId="40">P1_SCOPE_PROT2,P2_SCOPE_PROT2,P3_SCOPE_PROT2,P4_SCOPE_PROT2,P5_SCOPE_PROT2</definedName>
    <definedName name="SCOPE_PROT2" localSheetId="41">P1_SCOPE_PROT2,P2_SCOPE_PROT2,P3_SCOPE_PROT2,P4_SCOPE_PROT2,P5_SCOPE_PROT2</definedName>
    <definedName name="SCOPE_PROT2" localSheetId="42">P1_SCOPE_PROT2,P2_SCOPE_PROT2,P3_SCOPE_PROT2,P4_SCOPE_PROT2,P5_SCOPE_PROT2</definedName>
    <definedName name="SCOPE_PROT2" localSheetId="43">P1_SCOPE_PROT2,P2_SCOPE_PROT2,P3_SCOPE_PROT2,P4_SCOPE_PROT2,P5_SCOPE_PROT2</definedName>
    <definedName name="SCOPE_PROT2" localSheetId="0">P1_SCOPE_PROT2,P2_SCOPE_PROT2,P3_SCOPE_PROT2,P4_SCOPE_PROT2,P5_SCOPE_PROT2</definedName>
    <definedName name="SCOPE_PROT2">P1_SCOPE_PROT2,P2_SCOPE_PROT2,P3_SCOPE_PROT2,P4_SCOPE_PROT2,P5_SCOPE_PROT2</definedName>
    <definedName name="SCOPE_PROT5" localSheetId="4">P1_SCOPE_PROT5,P2_SCOPE_PROT5</definedName>
    <definedName name="SCOPE_PROT5" localSheetId="5">P1_SCOPE_PROT5,P2_SCOPE_PROT5</definedName>
    <definedName name="SCOPE_PROT5" localSheetId="38">P1_SCOPE_PROT5,P2_SCOPE_PROT5</definedName>
    <definedName name="SCOPE_PROT5" localSheetId="40">P1_SCOPE_PROT5,P2_SCOPE_PROT5</definedName>
    <definedName name="SCOPE_PROT5" localSheetId="41">P1_SCOPE_PROT5,P2_SCOPE_PROT5</definedName>
    <definedName name="SCOPE_PROT5" localSheetId="42">P1_SCOPE_PROT5,P2_SCOPE_PROT5</definedName>
    <definedName name="SCOPE_PROT5" localSheetId="43">P1_SCOPE_PROT5,P2_SCOPE_PROT5</definedName>
    <definedName name="SCOPE_PROT5" localSheetId="0">P1_SCOPE_PROT5,P2_SCOPE_PROT5</definedName>
    <definedName name="SCOPE_PROT5">P1_SCOPE_PROT5,P2_SCOPE_PROT5</definedName>
    <definedName name="SCOPE_SV_PRT" localSheetId="4">P1_SCOPE_SV_PRT,P2_SCOPE_SV_PRT,P3_SCOPE_SV_PRT</definedName>
    <definedName name="SCOPE_SV_PRT" localSheetId="5">P1_SCOPE_SV_PRT,P2_SCOPE_SV_PRT,P3_SCOPE_SV_PRT</definedName>
    <definedName name="SCOPE_SV_PRT" localSheetId="38">P1_SCOPE_SV_PRT,P2_SCOPE_SV_PRT,P3_SCOPE_SV_PRT</definedName>
    <definedName name="SCOPE_SV_PRT" localSheetId="40">P1_SCOPE_SV_PRT,P2_SCOPE_SV_PRT,P3_SCOPE_SV_PRT</definedName>
    <definedName name="SCOPE_SV_PRT" localSheetId="41">P1_SCOPE_SV_PRT,P2_SCOPE_SV_PRT,P3_SCOPE_SV_PRT</definedName>
    <definedName name="SCOPE_SV_PRT" localSheetId="42">P1_SCOPE_SV_PRT,P2_SCOPE_SV_PRT,P3_SCOPE_SV_PRT</definedName>
    <definedName name="SCOPE_SV_PRT" localSheetId="43">P1_SCOPE_SV_PRT,P2_SCOPE_SV_PRT,P3_SCOPE_SV_PRT</definedName>
    <definedName name="SCOPE_SV_PRT" localSheetId="0">P1_SCOPE_SV_PRT,P2_SCOPE_SV_PRT,P3_SCOPE_SV_PRT</definedName>
    <definedName name="SCOPE_SV_PRT">P1_SCOPE_SV_PRT,P2_SCOPE_SV_PRT,P3_SCOPE_SV_PRT</definedName>
    <definedName name="score_per_prt2" localSheetId="4">P5_SCOPE_PER_PRT,P6_SCOPE_PER_PRT,P7_SCOPE_PER_PRT,P8_SCOPE_PER_PRT</definedName>
    <definedName name="score_per_prt2" localSheetId="5">P5_SCOPE_PER_PRT,P6_SCOPE_PER_PRT,P7_SCOPE_PER_PRT,P8_SCOPE_PER_PRT</definedName>
    <definedName name="score_per_prt2" localSheetId="38">P5_SCOPE_PER_PRT,P6_SCOPE_PER_PRT,P7_SCOPE_PER_PRT,P8_SCOPE_PER_PRT</definedName>
    <definedName name="score_per_prt2" localSheetId="40">P5_SCOPE_PER_PRT,P6_SCOPE_PER_PRT,P7_SCOPE_PER_PRT,P8_SCOPE_PER_PRT</definedName>
    <definedName name="score_per_prt2" localSheetId="41">P5_SCOPE_PER_PRT,P6_SCOPE_PER_PRT,P7_SCOPE_PER_PRT,P8_SCOPE_PER_PRT</definedName>
    <definedName name="score_per_prt2" localSheetId="42">P5_SCOPE_PER_PRT,P6_SCOPE_PER_PRT,P7_SCOPE_PER_PRT,P8_SCOPE_PER_PRT</definedName>
    <definedName name="score_per_prt2" localSheetId="43">P5_SCOPE_PER_PRT,P6_SCOPE_PER_PRT,P7_SCOPE_PER_PRT,P8_SCOPE_PER_PRT</definedName>
    <definedName name="score_per_prt2" localSheetId="0">P5_SCOPE_PER_PRT,P6_SCOPE_PER_PRT,P7_SCOPE_PER_PRT,P8_SCOPE_PER_PRT</definedName>
    <definedName name="score_per_prt2">P5_SCOPE_PER_PRT,P6_SCOPE_PER_PRT,P7_SCOPE_PER_PRT,P8_SCOPE_PER_PRT</definedName>
    <definedName name="sencount" hidden="1">1</definedName>
    <definedName name="SETTINGS_CALC_METHOD">[2]TECHSHEET!$K$38:$K$41</definedName>
    <definedName name="solver_drv" hidden="1">1</definedName>
    <definedName name="solver_est" hidden="1">1</definedName>
    <definedName name="solver_itr" hidden="1">100</definedName>
    <definedName name="solver_lin" hidden="1">0</definedName>
    <definedName name="solver_num" hidden="1">6</definedName>
    <definedName name="solver_nwt" hidden="1">1</definedName>
    <definedName name="solver_pre" hidden="1">0.000001</definedName>
    <definedName name="solver_rel1" hidden="1">2</definedName>
    <definedName name="solver_rel2" hidden="1">3</definedName>
    <definedName name="solver_rel3" hidden="1">3</definedName>
    <definedName name="solver_rel4" hidden="1">3</definedName>
    <definedName name="solver_rel5" hidden="1">3</definedName>
    <definedName name="solver_rel6" hidden="1">3</definedName>
    <definedName name="solver_rhs1" hidden="1">3600</definedName>
    <definedName name="solver_rhs2" hidden="1">9770</definedName>
    <definedName name="solver_rhs3" hidden="1">660</definedName>
    <definedName name="solver_rhs4" hidden="1">5320</definedName>
    <definedName name="solver_rhs5" hidden="1">214</definedName>
    <definedName name="solver_rhs6" hidden="1">350</definedName>
    <definedName name="solver_scl" hidden="1">0</definedName>
    <definedName name="solver_sho" hidden="1">0</definedName>
    <definedName name="solver_tim" hidden="1">200</definedName>
    <definedName name="solver_tmp" hidden="1">350</definedName>
    <definedName name="solver_tol" hidden="1">0.05</definedName>
    <definedName name="solver_typ" hidden="1">3</definedName>
    <definedName name="solver_val" hidden="1">74233</definedName>
    <definedName name="SoprMat_List10" localSheetId="4">#REF!</definedName>
    <definedName name="SoprMat_List10" localSheetId="5">#REF!</definedName>
    <definedName name="SoprMat_List10" localSheetId="38">#REF!</definedName>
    <definedName name="SoprMat_List10" localSheetId="40">#REF!</definedName>
    <definedName name="SoprMat_List10" localSheetId="41">#REF!</definedName>
    <definedName name="SoprMat_List10" localSheetId="42">#REF!</definedName>
    <definedName name="SoprMat_List10" localSheetId="43">#REF!</definedName>
    <definedName name="SoprMat_List10">#REF!</definedName>
    <definedName name="SoprMat_List10_2" localSheetId="4">#REF!</definedName>
    <definedName name="SoprMat_List10_2" localSheetId="5">#REF!</definedName>
    <definedName name="SoprMat_List10_2" localSheetId="38">#REF!</definedName>
    <definedName name="SoprMat_List10_2" localSheetId="40">#REF!</definedName>
    <definedName name="SoprMat_List10_2" localSheetId="41">#REF!</definedName>
    <definedName name="SoprMat_List10_2" localSheetId="42">#REF!</definedName>
    <definedName name="SoprMat_List10_2" localSheetId="43">#REF!</definedName>
    <definedName name="SoprMat_List10_2">#REF!</definedName>
    <definedName name="STATUS_CONTRACT">[2]TECHSHEET!$P$3:$P$5</definedName>
    <definedName name="STATUS_CONTRACT_REESTR">[2]TECHSHEET!$Q$3:$Q$5</definedName>
    <definedName name="StatusDate" hidden="1">"31.03.2020"</definedName>
    <definedName name="T0_Protect" localSheetId="4">P2_T0_Protect,P3_T0_Protect</definedName>
    <definedName name="T0_Protect" localSheetId="5">P2_T0_Protect,P3_T0_Protect</definedName>
    <definedName name="T0_Protect" localSheetId="38">P2_T0_Protect,P3_T0_Protect</definedName>
    <definedName name="T0_Protect" localSheetId="40">P2_T0_Protect,P3_T0_Protect</definedName>
    <definedName name="T0_Protect" localSheetId="41">P2_T0_Protect,P3_T0_Protect</definedName>
    <definedName name="T0_Protect" localSheetId="42">P2_T0_Protect,P3_T0_Protect</definedName>
    <definedName name="T0_Protect" localSheetId="43">P2_T0_Protect,P3_T0_Protect</definedName>
    <definedName name="T0_Protect" localSheetId="0">P2_T0_Protect,P3_T0_Protect</definedName>
    <definedName name="T0_Protect">P2_T0_Protect,P3_T0_Protect</definedName>
    <definedName name="T17_Protection" localSheetId="4">P2_T17_Protection,P3_T17_Protection,P4_T17_Protection,P5_T17_Protection,P6_T17_Protection</definedName>
    <definedName name="T17_Protection" localSheetId="5">P2_T17_Protection,P3_T17_Protection,P4_T17_Protection,P5_T17_Protection,P6_T17_Protection</definedName>
    <definedName name="T17_Protection" localSheetId="38">P2_T17_Protection,P3_T17_Protection,P4_T17_Protection,P5_T17_Protection,P6_T17_Protection</definedName>
    <definedName name="T17_Protection" localSheetId="40">P2_T17_Protection,P3_T17_Protection,P4_T17_Protection,P5_T17_Protection,P6_T17_Protection</definedName>
    <definedName name="T17_Protection" localSheetId="41">P2_T17_Protection,P3_T17_Protection,P4_T17_Protection,P5_T17_Protection,P6_T17_Protection</definedName>
    <definedName name="T17_Protection" localSheetId="42">P2_T17_Protection,P3_T17_Protection,P4_T17_Protection,P5_T17_Protection,P6_T17_Protection</definedName>
    <definedName name="T17_Protection" localSheetId="43">P2_T17_Protection,P3_T17_Protection,P4_T17_Protection,P5_T17_Protection,P6_T17_Protection</definedName>
    <definedName name="T17_Protection" localSheetId="0">P2_T17_Protection,P3_T17_Protection,P4_T17_Protection,P5_T17_Protection,P6_T17_Protection</definedName>
    <definedName name="T17_Protection">P2_T17_Protection,P3_T17_Protection,P4_T17_Protection,P5_T17_Protection,P6_T17_Protection</definedName>
    <definedName name="T2.1_Protect" localSheetId="4">P4_T2.1_Protect,P5_T2.1_Protect,P6_T2.1_Protect,P7_T2.1_Protect</definedName>
    <definedName name="T2.1_Protect" localSheetId="5">P4_T2.1_Protect,P5_T2.1_Protect,P6_T2.1_Protect,P7_T2.1_Protect</definedName>
    <definedName name="T2.1_Protect" localSheetId="38">P4_T2.1_Protect,P5_T2.1_Protect,P6_T2.1_Protect,P7_T2.1_Protect</definedName>
    <definedName name="T2.1_Protect" localSheetId="40">P4_T2.1_Protect,P5_T2.1_Protect,P6_T2.1_Protect,P7_T2.1_Protect</definedName>
    <definedName name="T2.1_Protect" localSheetId="41">P4_T2.1_Protect,P5_T2.1_Protect,P6_T2.1_Protect,P7_T2.1_Protect</definedName>
    <definedName name="T2.1_Protect" localSheetId="42">P4_T2.1_Protect,P5_T2.1_Protect,P6_T2.1_Protect,P7_T2.1_Protect</definedName>
    <definedName name="T2.1_Protect" localSheetId="43">P4_T2.1_Protect,P5_T2.1_Protect,P6_T2.1_Protect,P7_T2.1_Protect</definedName>
    <definedName name="T2.1_Protect" localSheetId="0">P4_T2.1_Protect,P5_T2.1_Protect,P6_T2.1_Protect,P7_T2.1_Protect</definedName>
    <definedName name="T2.1_Protect">P4_T2.1_Protect,P5_T2.1_Protect,P6_T2.1_Protect,P7_T2.1_Protect</definedName>
    <definedName name="T2_1_Protect" localSheetId="4">P4_T2_1_Protect,P5_T2_1_Protect,P6_T2_1_Protect,P7_T2_1_Protect</definedName>
    <definedName name="T2_1_Protect" localSheetId="5">P4_T2_1_Protect,P5_T2_1_Protect,P6_T2_1_Protect,P7_T2_1_Protect</definedName>
    <definedName name="T2_1_Protect" localSheetId="38">P4_T2_1_Protect,P5_T2_1_Protect,P6_T2_1_Protect,P7_T2_1_Protect</definedName>
    <definedName name="T2_1_Protect" localSheetId="40">P4_T2_1_Protect,P5_T2_1_Protect,P6_T2_1_Protect,P7_T2_1_Protect</definedName>
    <definedName name="T2_1_Protect" localSheetId="41">P4_T2_1_Protect,P5_T2_1_Protect,P6_T2_1_Protect,P7_T2_1_Protect</definedName>
    <definedName name="T2_1_Protect" localSheetId="42">P4_T2_1_Protect,P5_T2_1_Protect,P6_T2_1_Protect,P7_T2_1_Protect</definedName>
    <definedName name="T2_1_Protect" localSheetId="43">P4_T2_1_Protect,P5_T2_1_Protect,P6_T2_1_Protect,P7_T2_1_Protect</definedName>
    <definedName name="T2_1_Protect" localSheetId="0">P4_T2_1_Protect,P5_T2_1_Protect,P6_T2_1_Protect,P7_T2_1_Protect</definedName>
    <definedName name="T2_1_Protect">P4_T2_1_Protect,P5_T2_1_Protect,P6_T2_1_Protect,P7_T2_1_Protect</definedName>
    <definedName name="T2_2_Protect" localSheetId="4">P4_T2_2_Protect,P5_T2_2_Protect,P6_T2_2_Protect,P7_T2_2_Protect</definedName>
    <definedName name="T2_2_Protect" localSheetId="5">P4_T2_2_Protect,P5_T2_2_Protect,P6_T2_2_Protect,P7_T2_2_Protect</definedName>
    <definedName name="T2_2_Protect" localSheetId="38">P4_T2_2_Protect,P5_T2_2_Protect,P6_T2_2_Protect,P7_T2_2_Protect</definedName>
    <definedName name="T2_2_Protect" localSheetId="40">P4_T2_2_Protect,P5_T2_2_Protect,P6_T2_2_Protect,P7_T2_2_Protect</definedName>
    <definedName name="T2_2_Protect" localSheetId="41">P4_T2_2_Protect,P5_T2_2_Protect,P6_T2_2_Protect,P7_T2_2_Protect</definedName>
    <definedName name="T2_2_Protect" localSheetId="42">P4_T2_2_Protect,P5_T2_2_Protect,P6_T2_2_Protect,P7_T2_2_Protect</definedName>
    <definedName name="T2_2_Protect" localSheetId="43">P4_T2_2_Protect,P5_T2_2_Protect,P6_T2_2_Protect,P7_T2_2_Protect</definedName>
    <definedName name="T2_2_Protect" localSheetId="0">P4_T2_2_Protect,P5_T2_2_Protect,P6_T2_2_Protect,P7_T2_2_Protect</definedName>
    <definedName name="T2_2_Protect">P4_T2_2_Protect,P5_T2_2_Protect,P6_T2_2_Protect,P7_T2_2_Protect</definedName>
    <definedName name="T2_DiapProt" localSheetId="4">P1_T2_DiapProt,P2_T2_DiapProt</definedName>
    <definedName name="T2_DiapProt" localSheetId="5">P1_T2_DiapProt,P2_T2_DiapProt</definedName>
    <definedName name="T2_DiapProt" localSheetId="38">P1_T2_DiapProt,P2_T2_DiapProt</definedName>
    <definedName name="T2_DiapProt" localSheetId="40">P1_T2_DiapProt,P2_T2_DiapProt</definedName>
    <definedName name="T2_DiapProt" localSheetId="41">P1_T2_DiapProt,P2_T2_DiapProt</definedName>
    <definedName name="T2_DiapProt" localSheetId="42">P1_T2_DiapProt,P2_T2_DiapProt</definedName>
    <definedName name="T2_DiapProt" localSheetId="43">P1_T2_DiapProt,P2_T2_DiapProt</definedName>
    <definedName name="T2_DiapProt" localSheetId="0">P1_T2_DiapProt,P2_T2_DiapProt</definedName>
    <definedName name="T2_DiapProt">P1_T2_DiapProt,P2_T2_DiapProt</definedName>
    <definedName name="T2_Protect" localSheetId="4">P4_T2_Protect,P5_T2_Protect,P6_T2_Protect</definedName>
    <definedName name="T2_Protect" localSheetId="5">P4_T2_Protect,P5_T2_Protect,P6_T2_Protect</definedName>
    <definedName name="T2_Protect" localSheetId="38">P4_T2_Protect,P5_T2_Protect,P6_T2_Protect</definedName>
    <definedName name="T2_Protect" localSheetId="40">P4_T2_Protect,P5_T2_Protect,P6_T2_Protect</definedName>
    <definedName name="T2_Protect" localSheetId="41">P4_T2_Protect,P5_T2_Protect,P6_T2_Protect</definedName>
    <definedName name="T2_Protect" localSheetId="42">P4_T2_Protect,P5_T2_Protect,P6_T2_Protect</definedName>
    <definedName name="T2_Protect" localSheetId="43">P4_T2_Protect,P5_T2_Protect,P6_T2_Protect</definedName>
    <definedName name="T2_Protect" localSheetId="0">P4_T2_Protect,P5_T2_Protect,P6_T2_Protect</definedName>
    <definedName name="T2_Protect">P4_T2_Protect,P5_T2_Protect,P6_T2_Protect</definedName>
    <definedName name="T21_Protection" localSheetId="4">P2_T21_Protection,P3_T21_Protection</definedName>
    <definedName name="T21_Protection" localSheetId="5">P2_T21_Protection,P3_T21_Protection</definedName>
    <definedName name="T21_Protection" localSheetId="38">P2_T21_Protection,P3_T21_Protection</definedName>
    <definedName name="T21_Protection" localSheetId="40">P2_T21_Protection,P3_T21_Protection</definedName>
    <definedName name="T21_Protection" localSheetId="41">P2_T21_Protection,P3_T21_Protection</definedName>
    <definedName name="T21_Protection" localSheetId="42">P2_T21_Protection,P3_T21_Protection</definedName>
    <definedName name="T21_Protection" localSheetId="43">P2_T21_Protection,P3_T21_Protection</definedName>
    <definedName name="T21_Protection" localSheetId="0">P2_T21_Protection,P3_T21_Protection</definedName>
    <definedName name="T21_Protection">P2_T21_Protection,P3_T21_Protection</definedName>
    <definedName name="T25_protection" localSheetId="4">P1_T25_protection,P2_T25_protection</definedName>
    <definedName name="T25_protection" localSheetId="5">P1_T25_protection,P2_T25_protection</definedName>
    <definedName name="T25_protection" localSheetId="38">P1_T25_protection,P2_T25_protection</definedName>
    <definedName name="T25_protection" localSheetId="40">P1_T25_protection,P2_T25_protection</definedName>
    <definedName name="T25_protection" localSheetId="41">P1_T25_protection,P2_T25_protection</definedName>
    <definedName name="T25_protection" localSheetId="42">P1_T25_protection,P2_T25_protection</definedName>
    <definedName name="T25_protection" localSheetId="43">P1_T25_protection,P2_T25_protection</definedName>
    <definedName name="T25_protection" localSheetId="0">P1_T25_protection,P2_T25_protection</definedName>
    <definedName name="T25_protection">P1_T25_protection,P2_T25_protection</definedName>
    <definedName name="T28_Protection" localSheetId="4">P9_T28_Protection,P10_T28_Protection,P11_T28_Protection,'1. Балансы ЭЭ и М'!P12_T28_Protection</definedName>
    <definedName name="T28_Protection" localSheetId="5">P9_T28_Protection,P10_T28_Protection,P11_T28_Protection,'2.Котловые балансы'!P12_T28_Protection</definedName>
    <definedName name="T28_Protection" localSheetId="38">P9_T28_Protection,P10_T28_Protection,P11_T28_Protection,'35 Исполнение ИПР'!P12_T28_Protection</definedName>
    <definedName name="T28_Protection" localSheetId="40">P9_T28_Protection,P10_T28_Protection,P11_T28_Protection,'37 ФХД'!P12_T28_Protection</definedName>
    <definedName name="T28_Protection" localSheetId="41">P9_T28_Protection,P10_T28_Protection,P11_T28_Protection,'38 ДПР'!P12_T28_Protection</definedName>
    <definedName name="T28_Protection" localSheetId="42">P9_T28_Protection,P10_T28_Protection,P11_T28_Protection,'39 ИПЦ'!P12_T28_Protection</definedName>
    <definedName name="T28_Protection" localSheetId="43">P9_T28_Protection,P10_T28_Protection,P11_T28_Protection,'40 Потери ээ'!P12_T28_Protection</definedName>
    <definedName name="T28_Protection" localSheetId="0">P9_T28_Protection,P10_T28_Protection,P11_T28_Protection,'Расчеты к ПЗ'!P12_T28_Protection</definedName>
    <definedName name="T28_Protection">P9_T28_Protection,P10_T28_Protection,P11_T28_Protection,P12_T28_Protection</definedName>
    <definedName name="T6_Protect" localSheetId="4">P1_T6_Protect,P2_T6_Protect</definedName>
    <definedName name="T6_Protect" localSheetId="5">P1_T6_Protect,P2_T6_Protect</definedName>
    <definedName name="T6_Protect" localSheetId="38">P1_T6_Protect,P2_T6_Protect</definedName>
    <definedName name="T6_Protect" localSheetId="40">P1_T6_Protect,P2_T6_Protect</definedName>
    <definedName name="T6_Protect" localSheetId="41">P1_T6_Protect,P2_T6_Protect</definedName>
    <definedName name="T6_Protect" localSheetId="42">P1_T6_Protect,P2_T6_Protect</definedName>
    <definedName name="T6_Protect" localSheetId="43">P1_T6_Protect,P2_T6_Protect</definedName>
    <definedName name="T6_Protect" localSheetId="0">P1_T6_Protect,P2_T6_Protect</definedName>
    <definedName name="T6_Protect">P1_T6_Protect,P2_T6_Protect</definedName>
    <definedName name="TOTAL" localSheetId="4">P1_TOTAL,P2_TOTAL,P3_TOTAL,P4_TOTAL,P5_TOTAL</definedName>
    <definedName name="TOTAL" localSheetId="5">P1_TOTAL,P2_TOTAL,P3_TOTAL,P4_TOTAL,P5_TOTAL</definedName>
    <definedName name="TOTAL" localSheetId="38">P1_TOTAL,P2_TOTAL,P3_TOTAL,P4_TOTAL,P5_TOTAL</definedName>
    <definedName name="TOTAL" localSheetId="40">P1_TOTAL,P2_TOTAL,P3_TOTAL,P4_TOTAL,P5_TOTAL</definedName>
    <definedName name="TOTAL" localSheetId="41">P1_TOTAL,P2_TOTAL,P3_TOTAL,P4_TOTAL,P5_TOTAL</definedName>
    <definedName name="TOTAL" localSheetId="42">P1_TOTAL,P2_TOTAL,P3_TOTAL,P4_TOTAL,P5_TOTAL</definedName>
    <definedName name="TOTAL" localSheetId="43">P1_TOTAL,P2_TOTAL,P3_TOTAL,P4_TOTAL,P5_TOTAL</definedName>
    <definedName name="TOTAL" localSheetId="0">P1_TOTAL,P2_TOTAL,P3_TOTAL,P4_TOTAL,P5_TOTAL</definedName>
    <definedName name="TOTAL">P1_TOTAL,P2_TOTAL,P3_TOTAL,P4_TOTAL,P5_TOTAL</definedName>
    <definedName name="TYPE_DOC_RENT">[2]TECHSHEET!$O$3:$O$4</definedName>
    <definedName name="TYPE_OBJECT">[2]TECHSHEET!$N$29:$N$33</definedName>
    <definedName name="VD_LIST">[2]TECHSHEET!$N$40:$N$41</definedName>
    <definedName name="version" localSheetId="37">[3]Инструкция!$B$3</definedName>
    <definedName name="version" localSheetId="0">[1]Инструкция!$B$3</definedName>
    <definedName name="version">[2]Инструкция!$B$3</definedName>
    <definedName name="YEAR">[2]TECHSHEET!$L$3:$L$23</definedName>
    <definedName name="year_list">[1]TEHSHEET!$F$2:$F$16</definedName>
    <definedName name="YES_NO">[2]TECHSHEET!$E$13:$E$14</definedName>
    <definedName name="выавыа" localSheetId="4">P13_T16?item_ext?ЧЕЛ,P14_T16?item_ext?ЧЕЛ,P15_T16?item_ext?ЧЕЛ,P16_T16?item_ext?ЧЕЛ,P17_T16?item_ext?ЧЕЛ,P18_T16?item_ext?ЧЕЛ,P19_T16?item_ext?ЧЕЛ</definedName>
    <definedName name="выавыа" localSheetId="5">P13_T16?item_ext?ЧЕЛ,P14_T16?item_ext?ЧЕЛ,P15_T16?item_ext?ЧЕЛ,P16_T16?item_ext?ЧЕЛ,P17_T16?item_ext?ЧЕЛ,P18_T16?item_ext?ЧЕЛ,P19_T16?item_ext?ЧЕЛ</definedName>
    <definedName name="выавыа" localSheetId="38">P13_T16?item_ext?ЧЕЛ,P14_T16?item_ext?ЧЕЛ,P15_T16?item_ext?ЧЕЛ,P16_T16?item_ext?ЧЕЛ,P17_T16?item_ext?ЧЕЛ,P18_T16?item_ext?ЧЕЛ,P19_T16?item_ext?ЧЕЛ</definedName>
    <definedName name="выавыа" localSheetId="40">P13_T16?item_ext?ЧЕЛ,P14_T16?item_ext?ЧЕЛ,P15_T16?item_ext?ЧЕЛ,P16_T16?item_ext?ЧЕЛ,P17_T16?item_ext?ЧЕЛ,P18_T16?item_ext?ЧЕЛ,P19_T16?item_ext?ЧЕЛ</definedName>
    <definedName name="выавыа" localSheetId="41">P13_T16?item_ext?ЧЕЛ,P14_T16?item_ext?ЧЕЛ,P15_T16?item_ext?ЧЕЛ,P16_T16?item_ext?ЧЕЛ,P17_T16?item_ext?ЧЕЛ,P18_T16?item_ext?ЧЕЛ,P19_T16?item_ext?ЧЕЛ</definedName>
    <definedName name="выавыа" localSheetId="42">P13_T16?item_ext?ЧЕЛ,P14_T16?item_ext?ЧЕЛ,P15_T16?item_ext?ЧЕЛ,P16_T16?item_ext?ЧЕЛ,P17_T16?item_ext?ЧЕЛ,P18_T16?item_ext?ЧЕЛ,P19_T16?item_ext?ЧЕЛ</definedName>
    <definedName name="выавыа" localSheetId="43">P13_T16?item_ext?ЧЕЛ,P14_T16?item_ext?ЧЕЛ,P15_T16?item_ext?ЧЕЛ,P16_T16?item_ext?ЧЕЛ,P17_T16?item_ext?ЧЕЛ,P18_T16?item_ext?ЧЕЛ,P19_T16?item_ext?ЧЕЛ</definedName>
    <definedName name="выавыа" localSheetId="0">P13_T16?item_ext?ЧЕЛ,P14_T16?item_ext?ЧЕЛ,P15_T16?item_ext?ЧЕЛ,P16_T16?item_ext?ЧЕЛ,P17_T16?item_ext?ЧЕЛ,P18_T16?item_ext?ЧЕЛ,P19_T16?item_ext?ЧЕЛ</definedName>
    <definedName name="выавыа">P13_T16?item_ext?ЧЕЛ,P14_T16?item_ext?ЧЕЛ,P15_T16?item_ext?ЧЕЛ,P16_T16?item_ext?ЧЕЛ,P17_T16?item_ext?ЧЕЛ,P18_T16?item_ext?ЧЕЛ,P19_T16?item_ext?ЧЕЛ</definedName>
    <definedName name="График">"Диагр. 4"</definedName>
    <definedName name="_xlnm.Print_Titles">'[6]ИТОГИ  по Н,Р,Э,Q'!$A$2:$IV$4</definedName>
    <definedName name="й" localSheetId="4">P1_SCOPE_16_PRT,P2_SCOPE_16_PRT</definedName>
    <definedName name="й" localSheetId="5">P1_SCOPE_16_PRT,P2_SCOPE_16_PRT</definedName>
    <definedName name="й" localSheetId="38">P1_SCOPE_16_PRT,P2_SCOPE_16_PRT</definedName>
    <definedName name="й" localSheetId="40">P1_SCOPE_16_PRT,P2_SCOPE_16_PRT</definedName>
    <definedName name="й" localSheetId="41">P1_SCOPE_16_PRT,P2_SCOPE_16_PRT</definedName>
    <definedName name="й" localSheetId="42">P1_SCOPE_16_PRT,P2_SCOPE_16_PRT</definedName>
    <definedName name="й" localSheetId="43">P1_SCOPE_16_PRT,P2_SCOPE_16_PRT</definedName>
    <definedName name="й" localSheetId="0">P1_SCOPE_16_PRT,P2_SCOPE_16_PRT</definedName>
    <definedName name="й">P1_SCOPE_16_PRT,P2_SCOPE_16_PRT</definedName>
    <definedName name="Курс_USD">28.47</definedName>
    <definedName name="мрпоп" localSheetId="4">P1_SCOPE_16_PRT,P2_SCOPE_16_PRT</definedName>
    <definedName name="мрпоп" localSheetId="5">P1_SCOPE_16_PRT,P2_SCOPE_16_PRT</definedName>
    <definedName name="мрпоп" localSheetId="38">P1_SCOPE_16_PRT,P2_SCOPE_16_PRT</definedName>
    <definedName name="мрпоп" localSheetId="40">P1_SCOPE_16_PRT,P2_SCOPE_16_PRT</definedName>
    <definedName name="мрпоп" localSheetId="41">P1_SCOPE_16_PRT,P2_SCOPE_16_PRT</definedName>
    <definedName name="мрпоп" localSheetId="42">P1_SCOPE_16_PRT,P2_SCOPE_16_PRT</definedName>
    <definedName name="мрпоп" localSheetId="43">P1_SCOPE_16_PRT,P2_SCOPE_16_PRT</definedName>
    <definedName name="мрпоп" localSheetId="0">P1_SCOPE_16_PRT,P2_SCOPE_16_PRT</definedName>
    <definedName name="мрпоп">P1_SCOPE_16_PRT,P2_SCOPE_16_PRT</definedName>
    <definedName name="_xlnm.Print_Area" localSheetId="18">'15 (лизинг ЭСХ-план)'!$A$1:$U$25</definedName>
    <definedName name="_xlnm.Print_Area" localSheetId="24">'21 (аморт-план)'!$B$1:$AC$64</definedName>
    <definedName name="_xlnm.Print_Area" localSheetId="28">'25 расчет инд.тарифа'!$A$1:$P$36</definedName>
    <definedName name="_xlnm.Print_Area" localSheetId="29">'26 (корректировка)'!$A$1:$G$47</definedName>
    <definedName name="_xlnm.Print_Area" localSheetId="9">'6 (сырье и материалы)'!$A$1:$V$122</definedName>
    <definedName name="р" localSheetId="4">P5_SCOPE_PER_PRT,P6_SCOPE_PER_PRT,P7_SCOPE_PER_PRT,P8_SCOPE_PER_PRT</definedName>
    <definedName name="р" localSheetId="5">P5_SCOPE_PER_PRT,P6_SCOPE_PER_PRT,P7_SCOPE_PER_PRT,P8_SCOPE_PER_PRT</definedName>
    <definedName name="р" localSheetId="38">P5_SCOPE_PER_PRT,P6_SCOPE_PER_PRT,P7_SCOPE_PER_PRT,P8_SCOPE_PER_PRT</definedName>
    <definedName name="р" localSheetId="40">P5_SCOPE_PER_PRT,P6_SCOPE_PER_PRT,P7_SCOPE_PER_PRT,P8_SCOPE_PER_PRT</definedName>
    <definedName name="р" localSheetId="41">P5_SCOPE_PER_PRT,P6_SCOPE_PER_PRT,P7_SCOPE_PER_PRT,P8_SCOPE_PER_PRT</definedName>
    <definedName name="р" localSheetId="42">P5_SCOPE_PER_PRT,P6_SCOPE_PER_PRT,P7_SCOPE_PER_PRT,P8_SCOPE_PER_PRT</definedName>
    <definedName name="р" localSheetId="43">P5_SCOPE_PER_PRT,P6_SCOPE_PER_PRT,P7_SCOPE_PER_PRT,P8_SCOPE_PER_PRT</definedName>
    <definedName name="р" localSheetId="0">P5_SCOPE_PER_PRT,P6_SCOPE_PER_PRT,P7_SCOPE_PER_PRT,P8_SCOPE_PER_PRT</definedName>
    <definedName name="р">P5_SCOPE_PER_PRT,P6_SCOPE_PER_PRT,P7_SCOPE_PER_PRT,P8_SCOPE_PER_PRT</definedName>
    <definedName name="роол" hidden="1">"CPBD6WTRUEFAZMP2FHSLP2KUP"</definedName>
    <definedName name="Ставка_ЕСН">0.26</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5" i="23" l="1"/>
  <c r="J102" i="10"/>
  <c r="I102" i="10"/>
  <c r="H102" i="10"/>
  <c r="G102" i="10"/>
  <c r="J98" i="10"/>
  <c r="I98" i="10"/>
  <c r="H98" i="10"/>
  <c r="G98" i="10"/>
  <c r="J97" i="10"/>
  <c r="I97" i="10"/>
  <c r="H97" i="10"/>
  <c r="G97" i="10"/>
  <c r="J92" i="10"/>
  <c r="I92" i="10"/>
  <c r="H92" i="10"/>
  <c r="G92" i="10"/>
  <c r="J88" i="10"/>
  <c r="I88" i="10"/>
  <c r="H88" i="10"/>
  <c r="G88" i="10"/>
  <c r="J87" i="10"/>
  <c r="I87" i="10"/>
  <c r="H87" i="10"/>
  <c r="G87" i="10"/>
  <c r="J82" i="10"/>
  <c r="I82" i="10"/>
  <c r="H82" i="10"/>
  <c r="G82" i="10"/>
  <c r="J78" i="10"/>
  <c r="I78" i="10"/>
  <c r="H78" i="10"/>
  <c r="G78" i="10"/>
  <c r="J77" i="10"/>
  <c r="I77" i="10"/>
  <c r="H77" i="10"/>
  <c r="G77" i="10"/>
  <c r="J76" i="10"/>
  <c r="I76" i="10"/>
  <c r="H76" i="10"/>
  <c r="G76" i="10"/>
  <c r="J71" i="10"/>
  <c r="I71" i="10"/>
  <c r="H71" i="10"/>
  <c r="G71" i="10"/>
  <c r="J67" i="10"/>
  <c r="I67" i="10"/>
  <c r="H67" i="10"/>
  <c r="G67" i="10"/>
  <c r="J66" i="10"/>
  <c r="I66" i="10"/>
  <c r="H66" i="10"/>
  <c r="G66" i="10"/>
  <c r="J61" i="10"/>
  <c r="I61" i="10"/>
  <c r="H61" i="10"/>
  <c r="G61" i="10"/>
  <c r="J57" i="10"/>
  <c r="I57" i="10"/>
  <c r="H57" i="10"/>
  <c r="G57" i="10"/>
  <c r="J56" i="10"/>
  <c r="I56" i="10"/>
  <c r="H56" i="10"/>
  <c r="G56" i="10"/>
  <c r="J55" i="10"/>
  <c r="I55" i="10"/>
  <c r="H55" i="10"/>
  <c r="G55" i="10"/>
  <c r="J50" i="10"/>
  <c r="I50" i="10"/>
  <c r="H50" i="10"/>
  <c r="G50" i="10"/>
  <c r="J46" i="10"/>
  <c r="I46" i="10"/>
  <c r="H46" i="10"/>
  <c r="G46" i="10"/>
  <c r="J45" i="10"/>
  <c r="I45" i="10"/>
  <c r="H45" i="10"/>
  <c r="G45" i="10"/>
  <c r="J40" i="10"/>
  <c r="I40" i="10"/>
  <c r="H40" i="10"/>
  <c r="G40" i="10"/>
  <c r="J36" i="10"/>
  <c r="I36" i="10"/>
  <c r="H36" i="10"/>
  <c r="G36" i="10"/>
  <c r="J35" i="10"/>
  <c r="I35" i="10"/>
  <c r="H35" i="10"/>
  <c r="G35" i="10"/>
  <c r="J30" i="10"/>
  <c r="I30" i="10"/>
  <c r="H30" i="10"/>
  <c r="G30" i="10"/>
  <c r="J26" i="10"/>
  <c r="I26" i="10"/>
  <c r="H26" i="10"/>
  <c r="G26" i="10"/>
  <c r="J25" i="10"/>
  <c r="I25" i="10"/>
  <c r="H25" i="10"/>
  <c r="G25" i="10"/>
  <c r="J20" i="10"/>
  <c r="I20" i="10"/>
  <c r="H20" i="10"/>
  <c r="G20" i="10"/>
  <c r="J11" i="10"/>
  <c r="I11" i="10"/>
  <c r="H11" i="10"/>
  <c r="G11" i="10"/>
  <c r="J10" i="10"/>
  <c r="I10" i="10"/>
  <c r="H10" i="10"/>
  <c r="G10" i="10"/>
  <c r="J9" i="10"/>
  <c r="J107" i="10" s="1"/>
  <c r="I9" i="10"/>
  <c r="I107" i="10" s="1"/>
  <c r="H9" i="10"/>
  <c r="H107" i="10" s="1"/>
  <c r="G9" i="10"/>
  <c r="G107" i="10" s="1"/>
  <c r="F4" i="53" l="1"/>
  <c r="E95" i="53" s="1"/>
  <c r="B6" i="53"/>
  <c r="D16" i="53"/>
  <c r="D17" i="53"/>
  <c r="D18" i="53"/>
  <c r="D19" i="53"/>
  <c r="D20" i="53"/>
  <c r="D21" i="53"/>
  <c r="B25" i="53"/>
  <c r="B30" i="53"/>
  <c r="C32" i="53"/>
  <c r="E32" i="53"/>
  <c r="H32" i="53"/>
  <c r="C33" i="53"/>
  <c r="E33" i="53"/>
  <c r="H33" i="53"/>
  <c r="C34" i="53"/>
  <c r="E34" i="53"/>
  <c r="H34" i="53"/>
  <c r="B56" i="53"/>
  <c r="B84" i="53"/>
  <c r="B91" i="53"/>
  <c r="D95" i="53"/>
  <c r="D97" i="53"/>
  <c r="E97" i="53"/>
  <c r="D98" i="53"/>
  <c r="D99" i="53" s="1"/>
  <c r="E98" i="53"/>
  <c r="E99" i="53" s="1"/>
  <c r="D101" i="53"/>
  <c r="E101" i="53"/>
  <c r="D102" i="53"/>
  <c r="D100" i="53" s="1"/>
  <c r="E102" i="53"/>
  <c r="E100" i="53" s="1"/>
  <c r="D103" i="53"/>
  <c r="E103" i="53"/>
  <c r="D105" i="53"/>
  <c r="E105" i="53"/>
  <c r="D106" i="53"/>
  <c r="E106" i="53"/>
  <c r="D107" i="53"/>
  <c r="E107" i="53"/>
  <c r="F120" i="53"/>
  <c r="E122" i="53"/>
  <c r="F122" i="53"/>
  <c r="E123" i="53"/>
  <c r="F123" i="53"/>
  <c r="E124" i="53"/>
  <c r="F124" i="53"/>
  <c r="E125" i="53"/>
  <c r="F125" i="53"/>
  <c r="E126" i="53"/>
  <c r="F126" i="53"/>
  <c r="E127" i="53"/>
  <c r="F127" i="53"/>
  <c r="E128" i="53"/>
  <c r="F128" i="53"/>
  <c r="E129" i="53"/>
  <c r="F129" i="53"/>
  <c r="E138" i="53"/>
  <c r="G138" i="53"/>
  <c r="J141" i="53"/>
  <c r="I142" i="53"/>
  <c r="I148" i="53" s="1"/>
  <c r="G143" i="53"/>
  <c r="H143" i="53"/>
  <c r="F144" i="53"/>
  <c r="I144" i="53"/>
  <c r="E163" i="53"/>
  <c r="E305" i="53" s="1"/>
  <c r="E323" i="53" s="1"/>
  <c r="F163" i="53"/>
  <c r="G163" i="53"/>
  <c r="G305" i="53" s="1"/>
  <c r="G323" i="53" s="1"/>
  <c r="H163" i="53"/>
  <c r="H305" i="53" s="1"/>
  <c r="H323" i="53" s="1"/>
  <c r="I163" i="53"/>
  <c r="I305" i="53" s="1"/>
  <c r="I323" i="53" s="1"/>
  <c r="E165" i="53"/>
  <c r="F165" i="53"/>
  <c r="G165" i="53"/>
  <c r="H165" i="53"/>
  <c r="I165" i="53"/>
  <c r="E166" i="53"/>
  <c r="F166" i="53"/>
  <c r="G166" i="53"/>
  <c r="H166" i="53"/>
  <c r="I166" i="53"/>
  <c r="E167" i="53"/>
  <c r="F167" i="53"/>
  <c r="G167" i="53"/>
  <c r="H167" i="53"/>
  <c r="I167" i="53"/>
  <c r="E168" i="53"/>
  <c r="F168" i="53"/>
  <c r="G168" i="53"/>
  <c r="H168" i="53"/>
  <c r="I168" i="53"/>
  <c r="E169" i="53"/>
  <c r="F169" i="53"/>
  <c r="G169" i="53"/>
  <c r="H169" i="53"/>
  <c r="I169" i="53"/>
  <c r="E170" i="53"/>
  <c r="F170" i="53"/>
  <c r="G170" i="53"/>
  <c r="H170" i="53"/>
  <c r="I170" i="53"/>
  <c r="E171" i="53"/>
  <c r="F171" i="53"/>
  <c r="G171" i="53"/>
  <c r="H171" i="53"/>
  <c r="I171" i="53"/>
  <c r="E172" i="53"/>
  <c r="F172" i="53"/>
  <c r="G172" i="53"/>
  <c r="H172" i="53"/>
  <c r="I172" i="53"/>
  <c r="E173" i="53"/>
  <c r="F173" i="53"/>
  <c r="G173" i="53"/>
  <c r="H173" i="53"/>
  <c r="I173" i="53"/>
  <c r="E174" i="53"/>
  <c r="F174" i="53"/>
  <c r="G174" i="53"/>
  <c r="H174" i="53"/>
  <c r="I174" i="53"/>
  <c r="E175" i="53"/>
  <c r="F175" i="53"/>
  <c r="G175" i="53"/>
  <c r="H175" i="53"/>
  <c r="I175" i="53"/>
  <c r="E176" i="53"/>
  <c r="F176" i="53"/>
  <c r="G176" i="53"/>
  <c r="H176" i="53"/>
  <c r="I176" i="53"/>
  <c r="E177" i="53"/>
  <c r="F177" i="53"/>
  <c r="G177" i="53"/>
  <c r="H177" i="53"/>
  <c r="I177" i="53"/>
  <c r="E178" i="53"/>
  <c r="F178" i="53"/>
  <c r="G178" i="53"/>
  <c r="H178" i="53"/>
  <c r="I178" i="53"/>
  <c r="E181" i="53"/>
  <c r="F181" i="53"/>
  <c r="G181" i="53"/>
  <c r="H181" i="53"/>
  <c r="I181" i="53"/>
  <c r="E183" i="53"/>
  <c r="B297" i="53" s="1"/>
  <c r="F183" i="53"/>
  <c r="G183" i="53"/>
  <c r="H183" i="53"/>
  <c r="I183" i="53"/>
  <c r="E184" i="53"/>
  <c r="F184" i="53"/>
  <c r="F309" i="53" s="1"/>
  <c r="G184" i="53"/>
  <c r="G327" i="53" s="1"/>
  <c r="H184" i="53"/>
  <c r="H327" i="53" s="1"/>
  <c r="I184" i="53"/>
  <c r="E185" i="53"/>
  <c r="E329" i="53" s="1"/>
  <c r="F185" i="53"/>
  <c r="F329" i="53" s="1"/>
  <c r="G185" i="53"/>
  <c r="G329" i="53" s="1"/>
  <c r="H185" i="53"/>
  <c r="I185" i="53"/>
  <c r="I329" i="53" s="1"/>
  <c r="E186" i="53"/>
  <c r="F186" i="53"/>
  <c r="G186" i="53"/>
  <c r="H186" i="53"/>
  <c r="I186" i="53"/>
  <c r="E187" i="53"/>
  <c r="F187" i="53"/>
  <c r="G187" i="53"/>
  <c r="H187" i="53"/>
  <c r="I187" i="53"/>
  <c r="E188" i="53"/>
  <c r="F188" i="53"/>
  <c r="G188" i="53"/>
  <c r="H188" i="53"/>
  <c r="I188" i="53"/>
  <c r="E189" i="53"/>
  <c r="F189" i="53"/>
  <c r="G189" i="53"/>
  <c r="H189" i="53"/>
  <c r="I189" i="53"/>
  <c r="E190" i="53"/>
  <c r="F190" i="53"/>
  <c r="G190" i="53"/>
  <c r="H190" i="53"/>
  <c r="I190" i="53"/>
  <c r="E191" i="53"/>
  <c r="F191" i="53"/>
  <c r="G191" i="53"/>
  <c r="H191" i="53"/>
  <c r="I191" i="53"/>
  <c r="E202" i="53"/>
  <c r="F202" i="53"/>
  <c r="G202" i="53"/>
  <c r="H202" i="53"/>
  <c r="F207" i="53"/>
  <c r="E208" i="53"/>
  <c r="H208" i="53"/>
  <c r="I1054" i="53" s="1"/>
  <c r="F209" i="53"/>
  <c r="G213" i="53"/>
  <c r="E216" i="53"/>
  <c r="F216" i="53"/>
  <c r="G216" i="53"/>
  <c r="H216" i="53"/>
  <c r="I216" i="53"/>
  <c r="E217" i="53"/>
  <c r="F217" i="53"/>
  <c r="G217" i="53"/>
  <c r="H217" i="53"/>
  <c r="J217" i="53" s="1"/>
  <c r="I217" i="53"/>
  <c r="F220" i="53"/>
  <c r="J221" i="53"/>
  <c r="J224" i="53"/>
  <c r="J225" i="53"/>
  <c r="J226" i="53"/>
  <c r="J227" i="53"/>
  <c r="J228" i="53"/>
  <c r="E231" i="53"/>
  <c r="F231" i="53"/>
  <c r="G231" i="53"/>
  <c r="H231" i="53"/>
  <c r="F236" i="53"/>
  <c r="E237" i="53"/>
  <c r="H237" i="53"/>
  <c r="F238" i="53"/>
  <c r="G242" i="53"/>
  <c r="E245" i="53"/>
  <c r="F245" i="53"/>
  <c r="G245" i="53"/>
  <c r="H245" i="53"/>
  <c r="J245" i="53" s="1"/>
  <c r="I245" i="53"/>
  <c r="E246" i="53"/>
  <c r="F246" i="53"/>
  <c r="G246" i="53"/>
  <c r="H246" i="53"/>
  <c r="I246" i="53"/>
  <c r="J246" i="53"/>
  <c r="E249" i="53"/>
  <c r="G249" i="53"/>
  <c r="I249" i="53"/>
  <c r="E250" i="53"/>
  <c r="H250" i="53"/>
  <c r="I250" i="53"/>
  <c r="E252" i="53"/>
  <c r="F252" i="53"/>
  <c r="G252" i="53"/>
  <c r="H252" i="53"/>
  <c r="I252" i="53"/>
  <c r="J252" i="53" s="1"/>
  <c r="E253" i="53"/>
  <c r="F253" i="53"/>
  <c r="G253" i="53"/>
  <c r="H253" i="53"/>
  <c r="I253" i="53"/>
  <c r="J253" i="53"/>
  <c r="H254" i="53"/>
  <c r="J255" i="53"/>
  <c r="J256" i="53"/>
  <c r="J257" i="53"/>
  <c r="J258" i="53"/>
  <c r="J259" i="53"/>
  <c r="J260" i="53"/>
  <c r="E272" i="53"/>
  <c r="F272" i="53"/>
  <c r="H272" i="53"/>
  <c r="I272" i="53"/>
  <c r="H275" i="53"/>
  <c r="E276" i="53"/>
  <c r="F276" i="53"/>
  <c r="G276" i="53"/>
  <c r="F142" i="53" s="1"/>
  <c r="F148" i="53" s="1"/>
  <c r="H276" i="53"/>
  <c r="I276" i="53"/>
  <c r="J276" i="53"/>
  <c r="E277" i="53"/>
  <c r="F277" i="53"/>
  <c r="F275" i="53" s="1"/>
  <c r="G277" i="53"/>
  <c r="F145" i="53" s="1"/>
  <c r="H277" i="53"/>
  <c r="G145" i="53" s="1"/>
  <c r="G146" i="53" s="1"/>
  <c r="I277" i="53"/>
  <c r="I275" i="53" s="1"/>
  <c r="J277" i="53"/>
  <c r="I145" i="53" s="1"/>
  <c r="E278" i="53"/>
  <c r="E143" i="53" s="1"/>
  <c r="F278" i="53"/>
  <c r="G278" i="53"/>
  <c r="H278" i="53"/>
  <c r="G208" i="53" s="1"/>
  <c r="I278" i="53"/>
  <c r="J278" i="53"/>
  <c r="I143" i="53" s="1"/>
  <c r="J143" i="53" s="1"/>
  <c r="E279" i="53"/>
  <c r="F279" i="53"/>
  <c r="G279" i="53"/>
  <c r="H279" i="53"/>
  <c r="G144" i="53" s="1"/>
  <c r="I279" i="53"/>
  <c r="J279" i="53"/>
  <c r="I209" i="53" s="1"/>
  <c r="B284" i="53"/>
  <c r="B288" i="53"/>
  <c r="B296" i="53"/>
  <c r="B298" i="53"/>
  <c r="B300" i="53"/>
  <c r="B301" i="53"/>
  <c r="F305" i="53"/>
  <c r="F323" i="53" s="1"/>
  <c r="E308" i="53"/>
  <c r="F308" i="53"/>
  <c r="G308" i="53"/>
  <c r="H308" i="53"/>
  <c r="I308" i="53"/>
  <c r="E309" i="53"/>
  <c r="I309" i="53"/>
  <c r="E310" i="53"/>
  <c r="F310" i="53"/>
  <c r="G312" i="53" s="1"/>
  <c r="G313" i="53" s="1"/>
  <c r="G310" i="53"/>
  <c r="H312" i="53" s="1"/>
  <c r="H313" i="53" s="1"/>
  <c r="H310" i="53"/>
  <c r="H147" i="53" s="1"/>
  <c r="I310" i="53"/>
  <c r="E311" i="53"/>
  <c r="H311" i="53"/>
  <c r="I311" i="53"/>
  <c r="F312" i="53"/>
  <c r="F313" i="53" s="1"/>
  <c r="I312" i="53"/>
  <c r="I313" i="53" s="1"/>
  <c r="E316" i="53"/>
  <c r="F316" i="53"/>
  <c r="G316" i="53"/>
  <c r="H316" i="53"/>
  <c r="I316" i="53"/>
  <c r="E317" i="53"/>
  <c r="F317" i="53"/>
  <c r="G318" i="53" s="1"/>
  <c r="G319" i="53" s="1"/>
  <c r="G317" i="53"/>
  <c r="H317" i="53"/>
  <c r="I317" i="53"/>
  <c r="F318" i="53"/>
  <c r="F319" i="53" s="1"/>
  <c r="H318" i="53"/>
  <c r="I318" i="53"/>
  <c r="H319" i="53"/>
  <c r="I319" i="53"/>
  <c r="E326" i="53"/>
  <c r="F326" i="53"/>
  <c r="G326" i="53"/>
  <c r="H326" i="53"/>
  <c r="I326" i="53"/>
  <c r="E327" i="53"/>
  <c r="F327" i="53"/>
  <c r="I327" i="53"/>
  <c r="E328" i="53"/>
  <c r="F328" i="53"/>
  <c r="G328" i="53"/>
  <c r="G147" i="53" s="1"/>
  <c r="H328" i="53"/>
  <c r="I328" i="53"/>
  <c r="H329" i="53"/>
  <c r="F330" i="53"/>
  <c r="F331" i="53" s="1"/>
  <c r="G330" i="53"/>
  <c r="H330" i="53"/>
  <c r="H331" i="53" s="1"/>
  <c r="G331" i="53"/>
  <c r="E334" i="53"/>
  <c r="F334" i="53"/>
  <c r="G334" i="53"/>
  <c r="H334" i="53"/>
  <c r="I334" i="53"/>
  <c r="E335" i="53"/>
  <c r="E147" i="53" s="1"/>
  <c r="F335" i="53"/>
  <c r="G335" i="53"/>
  <c r="H336" i="53" s="1"/>
  <c r="H337" i="53" s="1"/>
  <c r="H335" i="53"/>
  <c r="I336" i="53" s="1"/>
  <c r="I337" i="53" s="1"/>
  <c r="I335" i="53"/>
  <c r="F336" i="53"/>
  <c r="F337" i="53" s="1"/>
  <c r="G353" i="53"/>
  <c r="J353" i="53"/>
  <c r="E355" i="53"/>
  <c r="F355" i="53"/>
  <c r="H355" i="53"/>
  <c r="J355" i="53" s="1"/>
  <c r="I355" i="53"/>
  <c r="E356" i="53"/>
  <c r="F356" i="53"/>
  <c r="H356" i="53"/>
  <c r="I356" i="53"/>
  <c r="I357" i="53"/>
  <c r="G358" i="53"/>
  <c r="J358" i="53"/>
  <c r="G359" i="53"/>
  <c r="J359" i="53"/>
  <c r="E362" i="53"/>
  <c r="F362" i="53"/>
  <c r="H362" i="53"/>
  <c r="I362" i="53"/>
  <c r="J362" i="53"/>
  <c r="E363" i="53"/>
  <c r="E364" i="53" s="1"/>
  <c r="F363" i="53"/>
  <c r="H363" i="53"/>
  <c r="I363" i="53"/>
  <c r="I364" i="53" s="1"/>
  <c r="I365" i="53" s="1"/>
  <c r="H364" i="53"/>
  <c r="G370" i="53"/>
  <c r="J370" i="53"/>
  <c r="E372" i="53"/>
  <c r="F372" i="53"/>
  <c r="F374" i="53" s="1"/>
  <c r="H372" i="53"/>
  <c r="I372" i="53"/>
  <c r="J372" i="53"/>
  <c r="B390" i="53" s="1"/>
  <c r="E373" i="53"/>
  <c r="F373" i="53"/>
  <c r="H373" i="53"/>
  <c r="H374" i="53" s="1"/>
  <c r="I373" i="53"/>
  <c r="I374" i="53" s="1"/>
  <c r="J374" i="53" s="1"/>
  <c r="J373" i="53" s="1"/>
  <c r="E374" i="53"/>
  <c r="G374" i="53" s="1"/>
  <c r="E375" i="53"/>
  <c r="G375" i="53" s="1"/>
  <c r="F375" i="53"/>
  <c r="H375" i="53"/>
  <c r="I375" i="53"/>
  <c r="E376" i="53"/>
  <c r="F376" i="53"/>
  <c r="H376" i="53"/>
  <c r="I376" i="53"/>
  <c r="J376" i="53" s="1"/>
  <c r="E377" i="53"/>
  <c r="F377" i="53"/>
  <c r="H377" i="53"/>
  <c r="I377" i="53"/>
  <c r="E378" i="53"/>
  <c r="F378" i="53"/>
  <c r="H378" i="53"/>
  <c r="I378" i="53"/>
  <c r="H379" i="53"/>
  <c r="E380" i="53"/>
  <c r="F380" i="53"/>
  <c r="H380" i="53"/>
  <c r="I380" i="53"/>
  <c r="D404" i="53"/>
  <c r="E404" i="53"/>
  <c r="H404" i="53"/>
  <c r="I404" i="53"/>
  <c r="E407" i="53"/>
  <c r="F407" i="53"/>
  <c r="G407" i="53"/>
  <c r="H407" i="53"/>
  <c r="I407" i="53"/>
  <c r="J407" i="53"/>
  <c r="K407" i="53"/>
  <c r="E408" i="53"/>
  <c r="F408" i="53"/>
  <c r="H408" i="53"/>
  <c r="I408" i="53"/>
  <c r="K408" i="53" s="1"/>
  <c r="J408" i="53"/>
  <c r="G409" i="53"/>
  <c r="K409" i="53"/>
  <c r="E410" i="53"/>
  <c r="G410" i="53" s="1"/>
  <c r="F410" i="53"/>
  <c r="H410" i="53"/>
  <c r="I410" i="53"/>
  <c r="K410" i="53" s="1"/>
  <c r="J410" i="53"/>
  <c r="E411" i="53"/>
  <c r="G411" i="53" s="1"/>
  <c r="F411" i="53"/>
  <c r="H411" i="53"/>
  <c r="I411" i="53"/>
  <c r="J411" i="53"/>
  <c r="E412" i="53"/>
  <c r="G412" i="53" s="1"/>
  <c r="F412" i="53"/>
  <c r="H412" i="53"/>
  <c r="I412" i="53"/>
  <c r="J412" i="53"/>
  <c r="K412" i="53" s="1"/>
  <c r="D413" i="53"/>
  <c r="B419" i="53"/>
  <c r="D432" i="53"/>
  <c r="E432" i="53"/>
  <c r="H432" i="53"/>
  <c r="I432" i="53"/>
  <c r="E435" i="53"/>
  <c r="G435" i="53" s="1"/>
  <c r="F435" i="53"/>
  <c r="H435" i="53"/>
  <c r="I435" i="53"/>
  <c r="J435" i="53"/>
  <c r="K435" i="53" s="1"/>
  <c r="E436" i="53"/>
  <c r="G436" i="53" s="1"/>
  <c r="F436" i="53"/>
  <c r="H436" i="53"/>
  <c r="I436" i="53"/>
  <c r="K436" i="53" s="1"/>
  <c r="J436" i="53"/>
  <c r="D437" i="53"/>
  <c r="D441" i="53" s="1"/>
  <c r="H437" i="53"/>
  <c r="E438" i="53"/>
  <c r="G438" i="53" s="1"/>
  <c r="F438" i="53"/>
  <c r="F437" i="53" s="1"/>
  <c r="H438" i="53"/>
  <c r="I438" i="53"/>
  <c r="I437" i="53" s="1"/>
  <c r="I441" i="53" s="1"/>
  <c r="J438" i="53"/>
  <c r="G439" i="53"/>
  <c r="K439" i="53"/>
  <c r="G440" i="53"/>
  <c r="K440" i="53"/>
  <c r="B447" i="53"/>
  <c r="E460" i="53"/>
  <c r="F460" i="53"/>
  <c r="H460" i="53"/>
  <c r="I460" i="53"/>
  <c r="K463" i="53"/>
  <c r="B476" i="53" s="1"/>
  <c r="K465" i="53"/>
  <c r="E466" i="53"/>
  <c r="F466" i="53"/>
  <c r="G466" i="53"/>
  <c r="H466" i="53"/>
  <c r="I466" i="53"/>
  <c r="J466" i="53"/>
  <c r="B468" i="53"/>
  <c r="B472" i="53"/>
  <c r="D485" i="53"/>
  <c r="E485" i="53"/>
  <c r="H485" i="53"/>
  <c r="I485" i="53"/>
  <c r="G488" i="53"/>
  <c r="K488" i="53"/>
  <c r="G490" i="53"/>
  <c r="G491" i="53"/>
  <c r="G492" i="53"/>
  <c r="B497" i="53"/>
  <c r="B498" i="53"/>
  <c r="D507" i="53"/>
  <c r="D510" i="53"/>
  <c r="E510" i="53"/>
  <c r="F510" i="53"/>
  <c r="F511" i="53"/>
  <c r="F512" i="53"/>
  <c r="B514" i="53"/>
  <c r="B518" i="53"/>
  <c r="D527" i="53"/>
  <c r="E527" i="53"/>
  <c r="H527" i="53"/>
  <c r="I527" i="53"/>
  <c r="D531" i="53"/>
  <c r="D530" i="53" s="1"/>
  <c r="E531" i="53"/>
  <c r="E530" i="53" s="1"/>
  <c r="F531" i="53"/>
  <c r="F530" i="53" s="1"/>
  <c r="B539" i="53" s="1"/>
  <c r="H531" i="53"/>
  <c r="H530" i="53" s="1"/>
  <c r="I531" i="53"/>
  <c r="I530" i="53" s="1"/>
  <c r="H219" i="53" s="1"/>
  <c r="J531" i="53"/>
  <c r="J530" i="53" s="1"/>
  <c r="I219" i="53" s="1"/>
  <c r="J219" i="53" s="1"/>
  <c r="G532" i="53"/>
  <c r="K532" i="53"/>
  <c r="G533" i="53"/>
  <c r="K533" i="53"/>
  <c r="G534" i="53"/>
  <c r="K534" i="53"/>
  <c r="G535" i="53"/>
  <c r="K535" i="53"/>
  <c r="B543" i="53"/>
  <c r="B551" i="53"/>
  <c r="E557" i="53"/>
  <c r="F557" i="53"/>
  <c r="H557" i="53"/>
  <c r="I557" i="53"/>
  <c r="G560" i="53"/>
  <c r="H560" i="53"/>
  <c r="I560" i="53"/>
  <c r="H249" i="53" s="1"/>
  <c r="J249" i="53" s="1"/>
  <c r="K560" i="53"/>
  <c r="G562" i="53"/>
  <c r="H562" i="53"/>
  <c r="I562" i="53"/>
  <c r="K562" i="53"/>
  <c r="G563" i="53"/>
  <c r="H563" i="53"/>
  <c r="I563" i="53"/>
  <c r="K563" i="53"/>
  <c r="E564" i="53"/>
  <c r="F564" i="53"/>
  <c r="H564" i="53"/>
  <c r="I564" i="53"/>
  <c r="K564" i="53" s="1"/>
  <c r="J564" i="53"/>
  <c r="E565" i="53"/>
  <c r="F565" i="53"/>
  <c r="H565" i="53"/>
  <c r="J565" i="53"/>
  <c r="B573" i="53"/>
  <c r="B577" i="53"/>
  <c r="D586" i="53"/>
  <c r="E586" i="53"/>
  <c r="H586" i="53"/>
  <c r="I586" i="53"/>
  <c r="E589" i="53"/>
  <c r="F589" i="53"/>
  <c r="F250" i="53" s="1"/>
  <c r="G589" i="53"/>
  <c r="H589" i="53"/>
  <c r="G250" i="53" s="1"/>
  <c r="I589" i="53"/>
  <c r="J589" i="53"/>
  <c r="K589" i="53"/>
  <c r="B603" i="53" s="1"/>
  <c r="B595" i="53"/>
  <c r="B599" i="53"/>
  <c r="D613" i="53"/>
  <c r="E613" i="53"/>
  <c r="H613" i="53"/>
  <c r="I613" i="53"/>
  <c r="D616" i="53"/>
  <c r="E251" i="53" s="1"/>
  <c r="H616" i="53"/>
  <c r="G251" i="53" s="1"/>
  <c r="E617" i="53"/>
  <c r="E616" i="53" s="1"/>
  <c r="F617" i="53"/>
  <c r="H617" i="53"/>
  <c r="I617" i="53"/>
  <c r="I616" i="53" s="1"/>
  <c r="H251" i="53" s="1"/>
  <c r="J617" i="53"/>
  <c r="G618" i="53"/>
  <c r="K618" i="53"/>
  <c r="B624" i="53"/>
  <c r="D638" i="53"/>
  <c r="E638" i="53"/>
  <c r="H638" i="53"/>
  <c r="I638" i="53"/>
  <c r="G641" i="53"/>
  <c r="K641" i="53"/>
  <c r="B652" i="53" s="1"/>
  <c r="B644" i="53"/>
  <c r="B648" i="53"/>
  <c r="D661" i="53"/>
  <c r="E661" i="53"/>
  <c r="H661" i="53"/>
  <c r="I661" i="53"/>
  <c r="D664" i="53"/>
  <c r="E220" i="53" s="1"/>
  <c r="E664" i="53"/>
  <c r="F664" i="53"/>
  <c r="F254" i="53" s="1"/>
  <c r="G664" i="53"/>
  <c r="H664" i="53"/>
  <c r="I664" i="53"/>
  <c r="H220" i="53" s="1"/>
  <c r="J664" i="53"/>
  <c r="I220" i="53" s="1"/>
  <c r="J220" i="53" s="1"/>
  <c r="K664" i="53"/>
  <c r="G665" i="53"/>
  <c r="K665" i="53"/>
  <c r="B667" i="53"/>
  <c r="B671" i="53"/>
  <c r="B675" i="53"/>
  <c r="B689" i="53"/>
  <c r="B690" i="53" s="1"/>
  <c r="B691" i="53" s="1"/>
  <c r="G758" i="53" s="1"/>
  <c r="C766" i="53" s="1"/>
  <c r="I689" i="53"/>
  <c r="I690" i="53"/>
  <c r="I691" i="53"/>
  <c r="I692" i="53"/>
  <c r="I693" i="53"/>
  <c r="B700" i="53"/>
  <c r="B701" i="53" s="1"/>
  <c r="B702" i="53" s="1"/>
  <c r="B703" i="53" s="1"/>
  <c r="B704" i="53" s="1"/>
  <c r="E710" i="53"/>
  <c r="F710" i="53"/>
  <c r="H713" i="53"/>
  <c r="E714" i="53"/>
  <c r="F714" i="53"/>
  <c r="G714" i="53"/>
  <c r="H715" i="53"/>
  <c r="E716" i="53"/>
  <c r="F716" i="53"/>
  <c r="G716" i="53"/>
  <c r="H716" i="53"/>
  <c r="E717" i="53"/>
  <c r="F717" i="53"/>
  <c r="G717" i="53"/>
  <c r="H717" i="53"/>
  <c r="E718" i="53"/>
  <c r="F718" i="53"/>
  <c r="G718" i="53"/>
  <c r="H718" i="53"/>
  <c r="E719" i="53"/>
  <c r="F719" i="53"/>
  <c r="G719" i="53"/>
  <c r="H719" i="53"/>
  <c r="E720" i="53"/>
  <c r="F720" i="53"/>
  <c r="G720" i="53"/>
  <c r="H720" i="53"/>
  <c r="E721" i="53"/>
  <c r="F721" i="53"/>
  <c r="G722" i="53"/>
  <c r="H723" i="53"/>
  <c r="H724" i="53"/>
  <c r="G726" i="53"/>
  <c r="H726" i="53"/>
  <c r="G728" i="53"/>
  <c r="H728" i="53"/>
  <c r="H730" i="53"/>
  <c r="H731" i="53"/>
  <c r="G733" i="53"/>
  <c r="H733" i="53"/>
  <c r="E734" i="53"/>
  <c r="G223" i="53" s="1"/>
  <c r="F734" i="53"/>
  <c r="H223" i="53" s="1"/>
  <c r="G736" i="53"/>
  <c r="H736" i="53"/>
  <c r="E737" i="53"/>
  <c r="G222" i="53" s="1"/>
  <c r="F737" i="53"/>
  <c r="H222" i="53" s="1"/>
  <c r="B739" i="53"/>
  <c r="B750" i="53"/>
  <c r="B778" i="53"/>
  <c r="B780" i="53"/>
  <c r="D785" i="53"/>
  <c r="E785" i="53"/>
  <c r="G785" i="53"/>
  <c r="I785" i="53"/>
  <c r="J785" i="53"/>
  <c r="B802" i="53"/>
  <c r="B803" i="53"/>
  <c r="B814" i="53"/>
  <c r="V826" i="53"/>
  <c r="I827" i="53"/>
  <c r="T827" i="53"/>
  <c r="T831" i="53"/>
  <c r="V831" i="53" s="1"/>
  <c r="U831" i="53"/>
  <c r="I832" i="53"/>
  <c r="J832" i="53"/>
  <c r="K832" i="53" s="1"/>
  <c r="T832" i="53"/>
  <c r="V832" i="53" s="1"/>
  <c r="U832" i="53"/>
  <c r="I833" i="53"/>
  <c r="J833" i="53"/>
  <c r="K833" i="53" s="1"/>
  <c r="J839" i="53"/>
  <c r="V839" i="53"/>
  <c r="V840" i="53"/>
  <c r="V841" i="53"/>
  <c r="K842" i="53"/>
  <c r="K843" i="53"/>
  <c r="K844" i="53"/>
  <c r="W857" i="53"/>
  <c r="I858" i="53"/>
  <c r="U858" i="53"/>
  <c r="W862" i="53"/>
  <c r="K863" i="53"/>
  <c r="W863" i="53"/>
  <c r="K864" i="53"/>
  <c r="W864" i="53"/>
  <c r="K865" i="53"/>
  <c r="K866" i="53"/>
  <c r="W866" i="53"/>
  <c r="K867" i="53"/>
  <c r="W867" i="53"/>
  <c r="W868" i="53"/>
  <c r="W869" i="53"/>
  <c r="I870" i="53"/>
  <c r="J870" i="53"/>
  <c r="J868" i="53" s="1"/>
  <c r="J861" i="53" s="1"/>
  <c r="I871" i="53"/>
  <c r="K871" i="53" s="1"/>
  <c r="J871" i="53"/>
  <c r="W871" i="53"/>
  <c r="U872" i="53"/>
  <c r="V872" i="53"/>
  <c r="U873" i="53"/>
  <c r="V873" i="53"/>
  <c r="W882" i="53"/>
  <c r="E883" i="53"/>
  <c r="Q883" i="53"/>
  <c r="G889" i="53"/>
  <c r="J889" i="53"/>
  <c r="S889" i="53"/>
  <c r="V889" i="53"/>
  <c r="G890" i="53"/>
  <c r="J890" i="53"/>
  <c r="S890" i="53"/>
  <c r="V890" i="53"/>
  <c r="G892" i="53"/>
  <c r="J892" i="53"/>
  <c r="S892" i="53"/>
  <c r="V892" i="53"/>
  <c r="E893" i="53"/>
  <c r="E891" i="53" s="1"/>
  <c r="F893" i="53"/>
  <c r="F891" i="53" s="1"/>
  <c r="H893" i="53"/>
  <c r="H891" i="53" s="1"/>
  <c r="I893" i="53"/>
  <c r="I891" i="53" s="1"/>
  <c r="J891" i="53" s="1"/>
  <c r="J893" i="53"/>
  <c r="Q893" i="53"/>
  <c r="R893" i="53"/>
  <c r="R891" i="53" s="1"/>
  <c r="T893" i="53"/>
  <c r="T891" i="53" s="1"/>
  <c r="U893" i="53"/>
  <c r="G894" i="53"/>
  <c r="J894" i="53"/>
  <c r="S894" i="53"/>
  <c r="V894" i="53"/>
  <c r="G895" i="53"/>
  <c r="J895" i="53"/>
  <c r="S895" i="53"/>
  <c r="V895" i="53"/>
  <c r="E896" i="53"/>
  <c r="F896" i="53"/>
  <c r="G896" i="53"/>
  <c r="H896" i="53"/>
  <c r="J896" i="53" s="1"/>
  <c r="I896" i="53"/>
  <c r="Q896" i="53"/>
  <c r="R896" i="53"/>
  <c r="T896" i="53"/>
  <c r="U896" i="53"/>
  <c r="V896" i="53" s="1"/>
  <c r="G897" i="53"/>
  <c r="J897" i="53"/>
  <c r="S897" i="53"/>
  <c r="V897" i="53"/>
  <c r="G898" i="53"/>
  <c r="J898" i="53"/>
  <c r="S898" i="53"/>
  <c r="V898" i="53"/>
  <c r="G899" i="53"/>
  <c r="J899" i="53"/>
  <c r="S899" i="53"/>
  <c r="V899" i="53"/>
  <c r="E900" i="53"/>
  <c r="F900" i="53"/>
  <c r="H900" i="53"/>
  <c r="I900" i="53"/>
  <c r="J900" i="53" s="1"/>
  <c r="Q900" i="53"/>
  <c r="R900" i="53"/>
  <c r="S900" i="53" s="1"/>
  <c r="T900" i="53"/>
  <c r="U900" i="53"/>
  <c r="V900" i="53" s="1"/>
  <c r="G901" i="53"/>
  <c r="J901" i="53"/>
  <c r="S901" i="53"/>
  <c r="V901" i="53"/>
  <c r="G902" i="53"/>
  <c r="J902" i="53"/>
  <c r="S902" i="53"/>
  <c r="V902" i="53"/>
  <c r="G903" i="53"/>
  <c r="J903" i="53"/>
  <c r="S903" i="53"/>
  <c r="V903" i="53"/>
  <c r="G904" i="53"/>
  <c r="J904" i="53"/>
  <c r="S904" i="53"/>
  <c r="V904" i="53"/>
  <c r="G905" i="53"/>
  <c r="J905" i="53"/>
  <c r="Q905" i="53"/>
  <c r="T905" i="53"/>
  <c r="G906" i="53"/>
  <c r="J906" i="53"/>
  <c r="S906" i="53"/>
  <c r="V906" i="53"/>
  <c r="G907" i="53"/>
  <c r="J907" i="53"/>
  <c r="S907" i="53"/>
  <c r="V907" i="53"/>
  <c r="U905" i="53" s="1"/>
  <c r="V905" i="53" s="1"/>
  <c r="E908" i="53"/>
  <c r="H908" i="53"/>
  <c r="S908" i="53"/>
  <c r="V908" i="53"/>
  <c r="G909" i="53"/>
  <c r="F908" i="53" s="1"/>
  <c r="G908" i="53" s="1"/>
  <c r="J909" i="53"/>
  <c r="I908" i="53" s="1"/>
  <c r="J908" i="53" s="1"/>
  <c r="S909" i="53"/>
  <c r="V909" i="53"/>
  <c r="G910" i="53"/>
  <c r="J910" i="53"/>
  <c r="S910" i="53"/>
  <c r="V910" i="53"/>
  <c r="G911" i="53"/>
  <c r="J911" i="53"/>
  <c r="S911" i="53"/>
  <c r="V911" i="53"/>
  <c r="G912" i="53"/>
  <c r="J912" i="53"/>
  <c r="S912" i="53"/>
  <c r="V912" i="53"/>
  <c r="G913" i="53"/>
  <c r="J913" i="53"/>
  <c r="G914" i="53"/>
  <c r="J914" i="53"/>
  <c r="G915" i="53"/>
  <c r="J915" i="53"/>
  <c r="W925" i="53"/>
  <c r="I926" i="53"/>
  <c r="U926" i="53"/>
  <c r="I929" i="53"/>
  <c r="K929" i="53" s="1"/>
  <c r="B934" i="53" s="1"/>
  <c r="J929" i="53"/>
  <c r="J838" i="53" s="1"/>
  <c r="U929" i="53"/>
  <c r="T834" i="53" s="1"/>
  <c r="V929" i="53"/>
  <c r="K931" i="53"/>
  <c r="W931" i="53"/>
  <c r="K932" i="53"/>
  <c r="W932" i="53"/>
  <c r="W942" i="53"/>
  <c r="I943" i="53"/>
  <c r="U943" i="53"/>
  <c r="I946" i="53"/>
  <c r="K946" i="53" s="1"/>
  <c r="B954" i="53" s="1"/>
  <c r="J946" i="53"/>
  <c r="U946" i="53"/>
  <c r="T837" i="53" s="1"/>
  <c r="V946" i="53"/>
  <c r="K948" i="53"/>
  <c r="W948" i="53"/>
  <c r="K949" i="53"/>
  <c r="W949" i="53"/>
  <c r="K950" i="53"/>
  <c r="W950" i="53"/>
  <c r="K951" i="53"/>
  <c r="W951" i="53"/>
  <c r="K952" i="53"/>
  <c r="W952" i="53"/>
  <c r="I963" i="53"/>
  <c r="I968" i="53"/>
  <c r="J968" i="53"/>
  <c r="K969" i="53"/>
  <c r="K970" i="53"/>
  <c r="K971" i="53"/>
  <c r="K972" i="53"/>
  <c r="K973" i="53"/>
  <c r="K974" i="53"/>
  <c r="I975" i="53"/>
  <c r="I966" i="53" s="1"/>
  <c r="T842" i="53" s="1"/>
  <c r="J975" i="53"/>
  <c r="K976" i="53"/>
  <c r="K977" i="53"/>
  <c r="K978" i="53"/>
  <c r="K979" i="53"/>
  <c r="K980" i="53"/>
  <c r="K981" i="53"/>
  <c r="I992" i="53"/>
  <c r="U992" i="53"/>
  <c r="K997" i="53"/>
  <c r="U997" i="53"/>
  <c r="W997" i="53" s="1"/>
  <c r="V997" i="53"/>
  <c r="V995" i="53" s="1"/>
  <c r="U838" i="53" s="1"/>
  <c r="I998" i="53"/>
  <c r="J998" i="53"/>
  <c r="J995" i="53" s="1"/>
  <c r="J841" i="53" s="1"/>
  <c r="I999" i="53"/>
  <c r="J999" i="53"/>
  <c r="W999" i="53"/>
  <c r="W1000" i="53"/>
  <c r="W1001" i="53"/>
  <c r="W1002" i="53"/>
  <c r="W1003" i="53"/>
  <c r="W1004" i="53"/>
  <c r="U1005" i="53"/>
  <c r="V1005" i="53"/>
  <c r="W1005" i="53"/>
  <c r="U1006" i="53"/>
  <c r="W1006" i="53" s="1"/>
  <c r="V1006" i="53"/>
  <c r="B1011" i="53"/>
  <c r="D1021" i="53"/>
  <c r="H1021" i="53"/>
  <c r="D1024" i="53"/>
  <c r="H1027" i="53" s="1"/>
  <c r="E1024" i="53"/>
  <c r="I1029" i="53" s="1"/>
  <c r="F1024" i="53"/>
  <c r="K1031" i="53" s="1"/>
  <c r="G1024" i="53"/>
  <c r="H1024" i="53"/>
  <c r="I1024" i="53"/>
  <c r="D1025" i="53"/>
  <c r="E1025" i="53"/>
  <c r="E1021" i="53" s="1"/>
  <c r="F1025" i="53"/>
  <c r="F1021" i="53" s="1"/>
  <c r="G1025" i="53"/>
  <c r="G1021" i="53" s="1"/>
  <c r="H1025" i="53"/>
  <c r="I1025" i="53"/>
  <c r="I1021" i="53" s="1"/>
  <c r="J1025" i="53"/>
  <c r="J1021" i="53" s="1"/>
  <c r="K1025" i="53"/>
  <c r="K1021" i="53" s="1"/>
  <c r="J1031" i="53"/>
  <c r="E1050" i="53"/>
  <c r="H1050" i="53"/>
  <c r="I1050" i="53"/>
  <c r="G1053" i="53"/>
  <c r="G1054" i="53"/>
  <c r="H1054" i="53"/>
  <c r="E1055" i="53"/>
  <c r="E1058" i="53" s="1"/>
  <c r="F1055" i="53"/>
  <c r="K1055" i="53"/>
  <c r="E1056" i="53"/>
  <c r="F1056" i="53"/>
  <c r="G1056" i="53" s="1"/>
  <c r="E1059" i="53"/>
  <c r="F1059" i="53"/>
  <c r="F1060" i="53" s="1"/>
  <c r="G1060" i="53" s="1"/>
  <c r="E1060" i="53"/>
  <c r="D1072" i="53"/>
  <c r="G1072" i="53"/>
  <c r="H1072" i="53"/>
  <c r="D1075" i="53"/>
  <c r="E1075" i="53"/>
  <c r="F1075" i="53" s="1"/>
  <c r="J1075" i="53"/>
  <c r="J1081" i="53" s="1"/>
  <c r="B1088" i="53" s="1"/>
  <c r="D1076" i="53"/>
  <c r="E1076" i="53"/>
  <c r="F1076" i="53" s="1"/>
  <c r="J1076" i="53"/>
  <c r="D1077" i="53"/>
  <c r="E1077" i="53"/>
  <c r="F1077" i="53" s="1"/>
  <c r="J1077" i="53"/>
  <c r="D1078" i="53"/>
  <c r="E1078" i="53"/>
  <c r="F1078" i="53" s="1"/>
  <c r="J1078" i="53"/>
  <c r="D1079" i="53"/>
  <c r="E1079" i="53"/>
  <c r="F1079" i="53" s="1"/>
  <c r="J1079" i="53"/>
  <c r="D1080" i="53"/>
  <c r="E1080" i="53"/>
  <c r="F1080" i="53" s="1"/>
  <c r="J1080" i="53"/>
  <c r="D1081" i="53"/>
  <c r="E1081" i="53"/>
  <c r="G1081" i="53"/>
  <c r="H1081" i="53"/>
  <c r="I1081" i="53"/>
  <c r="B1084" i="53"/>
  <c r="E1097" i="53"/>
  <c r="F1097" i="53"/>
  <c r="H1097" i="53"/>
  <c r="I1097" i="53"/>
  <c r="K1100" i="53"/>
  <c r="K1101" i="53"/>
  <c r="E1102" i="53"/>
  <c r="F1102" i="53"/>
  <c r="G1102" i="53"/>
  <c r="H1102" i="53"/>
  <c r="I1102" i="53"/>
  <c r="J1102" i="53"/>
  <c r="K1102" i="53" s="1"/>
  <c r="K1103" i="53"/>
  <c r="E1104" i="53"/>
  <c r="F1104" i="53"/>
  <c r="G1104" i="53"/>
  <c r="H1104" i="53"/>
  <c r="I1104" i="53"/>
  <c r="J1104" i="53"/>
  <c r="K1104" i="53" s="1"/>
  <c r="B1111" i="53" s="1"/>
  <c r="B1107" i="53"/>
  <c r="E1126" i="53"/>
  <c r="F1126" i="53"/>
  <c r="G1126" i="53"/>
  <c r="E1131" i="53"/>
  <c r="F1131" i="53"/>
  <c r="G1131" i="53"/>
  <c r="E1137" i="53"/>
  <c r="F1137" i="53"/>
  <c r="H1141" i="53"/>
  <c r="B1144" i="53"/>
  <c r="E1168" i="53"/>
  <c r="F1168" i="53"/>
  <c r="G1171" i="53"/>
  <c r="G1172" i="53"/>
  <c r="G1173" i="53"/>
  <c r="G1174" i="53"/>
  <c r="G1175" i="53"/>
  <c r="G1176" i="53"/>
  <c r="G1177" i="53"/>
  <c r="G1178" i="53"/>
  <c r="G1179" i="53"/>
  <c r="G1180" i="53"/>
  <c r="G1181" i="53"/>
  <c r="G1182" i="53"/>
  <c r="B1259" i="53"/>
  <c r="B1280" i="53"/>
  <c r="B1281" i="53" s="1"/>
  <c r="B1282" i="53" s="1"/>
  <c r="B1283" i="53" s="1"/>
  <c r="B1284" i="53" s="1"/>
  <c r="D1301" i="53"/>
  <c r="D1307" i="53"/>
  <c r="D1313" i="53"/>
  <c r="D1333" i="53"/>
  <c r="D1336" i="53"/>
  <c r="E1336" i="53"/>
  <c r="F1336" i="53" s="1"/>
  <c r="F1337" i="53"/>
  <c r="F1338" i="53"/>
  <c r="F1339" i="53"/>
  <c r="F1340" i="53"/>
  <c r="E1349" i="53"/>
  <c r="E1350" i="53"/>
  <c r="F1351" i="53"/>
  <c r="F1348" i="53" s="1"/>
  <c r="G1351" i="53"/>
  <c r="H1351" i="53"/>
  <c r="F1355" i="53"/>
  <c r="E1356" i="53"/>
  <c r="E1357" i="53"/>
  <c r="F1358" i="53"/>
  <c r="G1358" i="53"/>
  <c r="H1358" i="53"/>
  <c r="H1362" i="53"/>
  <c r="F1363" i="53"/>
  <c r="G1363" i="53"/>
  <c r="H1363" i="53"/>
  <c r="I1363" i="53"/>
  <c r="E1364" i="53"/>
  <c r="F1365" i="53"/>
  <c r="E1365" i="53" s="1"/>
  <c r="E1355" i="53" s="1"/>
  <c r="G1365" i="53"/>
  <c r="G1362" i="53" s="1"/>
  <c r="H1365" i="53"/>
  <c r="I1365" i="53"/>
  <c r="I1362" i="53" s="1"/>
  <c r="E1366" i="53"/>
  <c r="E1369" i="53"/>
  <c r="E1370" i="53"/>
  <c r="F1371" i="53"/>
  <c r="F1368" i="53" s="1"/>
  <c r="G1371" i="53"/>
  <c r="H1371" i="53"/>
  <c r="E1376" i="53"/>
  <c r="E1377" i="53"/>
  <c r="F1378" i="53"/>
  <c r="F1375" i="53" s="1"/>
  <c r="I1375" i="53" s="1"/>
  <c r="G1378" i="53"/>
  <c r="H1378" i="53"/>
  <c r="I1382" i="53"/>
  <c r="F1383" i="53"/>
  <c r="G1383" i="53"/>
  <c r="H1383" i="53"/>
  <c r="I1383" i="53"/>
  <c r="E1383" i="53" s="1"/>
  <c r="E1384" i="53"/>
  <c r="F1385" i="53"/>
  <c r="F1382" i="53" s="1"/>
  <c r="G1385" i="53"/>
  <c r="G1382" i="53" s="1"/>
  <c r="H1385" i="53"/>
  <c r="H1382" i="53" s="1"/>
  <c r="I1385" i="53"/>
  <c r="E1386" i="53"/>
  <c r="G1666" i="53"/>
  <c r="F1081" i="53" l="1"/>
  <c r="K968" i="53"/>
  <c r="G311" i="53"/>
  <c r="F311" i="53"/>
  <c r="H138" i="53"/>
  <c r="E120" i="53"/>
  <c r="E758" i="53"/>
  <c r="C764" i="53" s="1"/>
  <c r="F138" i="53"/>
  <c r="F888" i="53"/>
  <c r="G900" i="53"/>
  <c r="T888" i="53"/>
  <c r="G236" i="53"/>
  <c r="J216" i="53"/>
  <c r="G1375" i="53"/>
  <c r="I840" i="53"/>
  <c r="K998" i="53"/>
  <c r="E888" i="53"/>
  <c r="H309" i="53"/>
  <c r="H1355" i="53"/>
  <c r="G1059" i="53"/>
  <c r="H888" i="53"/>
  <c r="F758" i="53"/>
  <c r="C765" i="53" s="1"/>
  <c r="H714" i="53"/>
  <c r="B692" i="53"/>
  <c r="B693" i="53" s="1"/>
  <c r="I758" i="53" s="1"/>
  <c r="C768" i="53" s="1"/>
  <c r="F441" i="53"/>
  <c r="B443" i="53" s="1"/>
  <c r="K411" i="53"/>
  <c r="J375" i="53"/>
  <c r="G309" i="53"/>
  <c r="I237" i="53"/>
  <c r="J237" i="53" s="1"/>
  <c r="F235" i="53"/>
  <c r="G207" i="53"/>
  <c r="H1056" i="53" s="1"/>
  <c r="E104" i="53"/>
  <c r="F1362" i="53"/>
  <c r="S896" i="53"/>
  <c r="E1363" i="53"/>
  <c r="G1368" i="53"/>
  <c r="I1368" i="53" s="1"/>
  <c r="I995" i="53"/>
  <c r="K995" i="53" s="1"/>
  <c r="B1003" i="53" s="1"/>
  <c r="K975" i="53"/>
  <c r="G893" i="53"/>
  <c r="I565" i="53"/>
  <c r="K565" i="53" s="1"/>
  <c r="K531" i="53"/>
  <c r="G531" i="53"/>
  <c r="K530" i="53"/>
  <c r="B547" i="53" s="1"/>
  <c r="F413" i="53"/>
  <c r="F379" i="53"/>
  <c r="F381" i="53" s="1"/>
  <c r="F382" i="53" s="1"/>
  <c r="E332" i="53"/>
  <c r="E314" i="53"/>
  <c r="E315" i="53" s="1"/>
  <c r="G142" i="53"/>
  <c r="G148" i="53" s="1"/>
  <c r="J250" i="53"/>
  <c r="I208" i="53"/>
  <c r="D104" i="53"/>
  <c r="E219" i="53"/>
  <c r="E248" i="53"/>
  <c r="G1055" i="53"/>
  <c r="F1058" i="53"/>
  <c r="G1058" i="53" s="1"/>
  <c r="J836" i="53"/>
  <c r="F215" i="53"/>
  <c r="G408" i="53"/>
  <c r="E413" i="53"/>
  <c r="G413" i="53" s="1"/>
  <c r="F147" i="53"/>
  <c r="G336" i="53"/>
  <c r="G337" i="53" s="1"/>
  <c r="G888" i="53"/>
  <c r="I837" i="53" s="1"/>
  <c r="J437" i="53"/>
  <c r="K438" i="53"/>
  <c r="Q891" i="53"/>
  <c r="S893" i="53"/>
  <c r="W873" i="53"/>
  <c r="V870" i="53"/>
  <c r="H722" i="53"/>
  <c r="G721" i="53"/>
  <c r="H721" i="53" s="1"/>
  <c r="G729" i="53"/>
  <c r="H729" i="53" s="1"/>
  <c r="G727" i="53"/>
  <c r="H727" i="53" s="1"/>
  <c r="E215" i="53"/>
  <c r="E244" i="53"/>
  <c r="H413" i="53"/>
  <c r="J1059" i="53"/>
  <c r="E1368" i="53"/>
  <c r="G1348" i="53"/>
  <c r="H1348" i="53" s="1"/>
  <c r="F1057" i="53"/>
  <c r="V893" i="53"/>
  <c r="U891" i="53"/>
  <c r="H381" i="53"/>
  <c r="I146" i="53"/>
  <c r="D108" i="53"/>
  <c r="E1385" i="53"/>
  <c r="E1375" i="53" s="1"/>
  <c r="I1355" i="53"/>
  <c r="E1057" i="53"/>
  <c r="R905" i="53"/>
  <c r="S905" i="53" s="1"/>
  <c r="I888" i="53"/>
  <c r="J888" i="53" s="1"/>
  <c r="J413" i="53"/>
  <c r="J966" i="53"/>
  <c r="F214" i="53"/>
  <c r="F243" i="53"/>
  <c r="B415" i="53"/>
  <c r="F314" i="53"/>
  <c r="E333" i="53"/>
  <c r="E108" i="53"/>
  <c r="U995" i="53"/>
  <c r="T838" i="53" s="1"/>
  <c r="V838" i="53" s="1"/>
  <c r="U837" i="53"/>
  <c r="V837" i="53" s="1"/>
  <c r="W946" i="53"/>
  <c r="W929" i="53"/>
  <c r="U834" i="53"/>
  <c r="I838" i="53"/>
  <c r="K838" i="53" s="1"/>
  <c r="G219" i="53"/>
  <c r="G248" i="53"/>
  <c r="G891" i="53"/>
  <c r="J616" i="53"/>
  <c r="K617" i="53"/>
  <c r="G564" i="53"/>
  <c r="G565" i="53"/>
  <c r="F249" i="53"/>
  <c r="B569" i="53"/>
  <c r="H215" i="53"/>
  <c r="H244" i="53"/>
  <c r="H1375" i="53"/>
  <c r="G1355" i="53"/>
  <c r="I1053" i="53"/>
  <c r="B1040" i="53"/>
  <c r="K999" i="53"/>
  <c r="U870" i="53"/>
  <c r="U865" i="53" s="1"/>
  <c r="U861" i="53" s="1"/>
  <c r="T835" i="53" s="1"/>
  <c r="W872" i="53"/>
  <c r="K870" i="53"/>
  <c r="I839" i="53"/>
  <c r="K839" i="53" s="1"/>
  <c r="E437" i="53"/>
  <c r="I413" i="53"/>
  <c r="J364" i="53"/>
  <c r="F364" i="53"/>
  <c r="G362" i="53"/>
  <c r="F146" i="53"/>
  <c r="I868" i="53"/>
  <c r="I861" i="53" s="1"/>
  <c r="I836" i="53" s="1"/>
  <c r="G254" i="53"/>
  <c r="G220" i="53"/>
  <c r="F219" i="53"/>
  <c r="F248" i="53"/>
  <c r="H441" i="53"/>
  <c r="G372" i="53"/>
  <c r="G373" i="53" s="1"/>
  <c r="I147" i="53"/>
  <c r="J147" i="53" s="1"/>
  <c r="I330" i="53"/>
  <c r="I331" i="53" s="1"/>
  <c r="H209" i="53"/>
  <c r="I1059" i="53" s="1"/>
  <c r="H238" i="53"/>
  <c r="H144" i="53"/>
  <c r="J144" i="53" s="1"/>
  <c r="E209" i="53"/>
  <c r="E238" i="53"/>
  <c r="F208" i="53"/>
  <c r="F237" i="53"/>
  <c r="F143" i="53"/>
  <c r="H207" i="53"/>
  <c r="H236" i="53"/>
  <c r="H235" i="53" s="1"/>
  <c r="B286" i="53"/>
  <c r="E145" i="53"/>
  <c r="E207" i="53"/>
  <c r="E236" i="53"/>
  <c r="E235" i="53" s="1"/>
  <c r="E142" i="53"/>
  <c r="E148" i="53" s="1"/>
  <c r="E275" i="53"/>
  <c r="I248" i="53"/>
  <c r="H145" i="53"/>
  <c r="H146" i="53" s="1"/>
  <c r="E144" i="53"/>
  <c r="F616" i="53"/>
  <c r="G617" i="53"/>
  <c r="G530" i="53"/>
  <c r="K466" i="53"/>
  <c r="I379" i="53"/>
  <c r="I381" i="53" s="1"/>
  <c r="I382" i="53" s="1"/>
  <c r="G376" i="53"/>
  <c r="E379" i="53"/>
  <c r="H357" i="53"/>
  <c r="J357" i="53" s="1"/>
  <c r="J356" i="53" s="1"/>
  <c r="F357" i="53"/>
  <c r="E254" i="53"/>
  <c r="H248" i="53"/>
  <c r="I218" i="53"/>
  <c r="I247" i="53"/>
  <c r="J247" i="53" s="1"/>
  <c r="E214" i="53"/>
  <c r="E212" i="53" s="1"/>
  <c r="E210" i="53" s="1"/>
  <c r="E243" i="53"/>
  <c r="G355" i="53"/>
  <c r="G238" i="53"/>
  <c r="G235" i="53" s="1"/>
  <c r="F206" i="53"/>
  <c r="H218" i="53"/>
  <c r="H247" i="53"/>
  <c r="E357" i="53"/>
  <c r="I332" i="53"/>
  <c r="H142" i="53"/>
  <c r="I254" i="53"/>
  <c r="J254" i="53" s="1"/>
  <c r="G209" i="53"/>
  <c r="H1059" i="53" s="1"/>
  <c r="G275" i="53"/>
  <c r="I238" i="53"/>
  <c r="G237" i="53"/>
  <c r="I236" i="53"/>
  <c r="I207" i="53"/>
  <c r="J275" i="53"/>
  <c r="B292" i="53" s="1"/>
  <c r="E6" i="51"/>
  <c r="H6" i="51"/>
  <c r="H1060" i="53" l="1"/>
  <c r="I314" i="53"/>
  <c r="G314" i="53"/>
  <c r="H314" i="53"/>
  <c r="H758" i="53"/>
  <c r="C767" i="53" s="1"/>
  <c r="J218" i="53"/>
  <c r="I841" i="53"/>
  <c r="K841" i="53" s="1"/>
  <c r="I834" i="53"/>
  <c r="I830" i="53" s="1"/>
  <c r="J145" i="53"/>
  <c r="H1057" i="53"/>
  <c r="H1058" i="53"/>
  <c r="H1368" i="53"/>
  <c r="G379" i="53"/>
  <c r="R888" i="53"/>
  <c r="J248" i="53"/>
  <c r="E206" i="53"/>
  <c r="F244" i="53"/>
  <c r="J208" i="53"/>
  <c r="J1054" i="53"/>
  <c r="H332" i="53"/>
  <c r="G332" i="53"/>
  <c r="F332" i="53"/>
  <c r="I206" i="53"/>
  <c r="J207" i="53"/>
  <c r="J1056" i="53"/>
  <c r="J1060" i="53" s="1"/>
  <c r="S888" i="53"/>
  <c r="T836" i="53" s="1"/>
  <c r="T833" i="53" s="1"/>
  <c r="T830" i="53" s="1"/>
  <c r="T843" i="53" s="1"/>
  <c r="I214" i="53"/>
  <c r="I243" i="53"/>
  <c r="K413" i="53"/>
  <c r="B423" i="53" s="1"/>
  <c r="K868" i="53"/>
  <c r="Q888" i="53"/>
  <c r="S891" i="53"/>
  <c r="K861" i="53"/>
  <c r="B874" i="53" s="1"/>
  <c r="J236" i="53"/>
  <c r="I235" i="53"/>
  <c r="G357" i="53"/>
  <c r="G356" i="53" s="1"/>
  <c r="E365" i="53"/>
  <c r="E205" i="53"/>
  <c r="G215" i="53"/>
  <c r="G244" i="53"/>
  <c r="H365" i="53"/>
  <c r="F315" i="53"/>
  <c r="G315" i="53" s="1"/>
  <c r="H315" i="53" s="1"/>
  <c r="I315" i="53" s="1"/>
  <c r="E320" i="53"/>
  <c r="F320" i="53" s="1"/>
  <c r="G320" i="53" s="1"/>
  <c r="H320" i="53" s="1"/>
  <c r="W870" i="53"/>
  <c r="V865" i="53"/>
  <c r="I1348" i="53"/>
  <c r="E146" i="53"/>
  <c r="E338" i="53"/>
  <c r="F338" i="53" s="1"/>
  <c r="G338" i="53" s="1"/>
  <c r="F333" i="53"/>
  <c r="G333" i="53" s="1"/>
  <c r="H333" i="53" s="1"/>
  <c r="I333" i="53" s="1"/>
  <c r="E1348" i="53"/>
  <c r="J146" i="53"/>
  <c r="J379" i="53"/>
  <c r="K1059" i="53"/>
  <c r="K437" i="53"/>
  <c r="K441" i="53" s="1"/>
  <c r="B451" i="53" s="1"/>
  <c r="J441" i="53"/>
  <c r="I845" i="53"/>
  <c r="J1023" i="53"/>
  <c r="J1024" i="53" s="1"/>
  <c r="F365" i="53"/>
  <c r="G364" i="53"/>
  <c r="G437" i="53"/>
  <c r="G441" i="53" s="1"/>
  <c r="E441" i="53"/>
  <c r="I251" i="53"/>
  <c r="J251" i="53" s="1"/>
  <c r="K616" i="53"/>
  <c r="B628" i="53"/>
  <c r="V834" i="53"/>
  <c r="G214" i="53"/>
  <c r="G212" i="53" s="1"/>
  <c r="G243" i="53"/>
  <c r="G241" i="53" s="1"/>
  <c r="I1056" i="53"/>
  <c r="H206" i="53"/>
  <c r="J837" i="53"/>
  <c r="K837" i="53" s="1"/>
  <c r="B917" i="53"/>
  <c r="J381" i="53"/>
  <c r="H382" i="53"/>
  <c r="V891" i="53"/>
  <c r="U888" i="53"/>
  <c r="V888" i="53" s="1"/>
  <c r="U836" i="53" s="1"/>
  <c r="V836" i="53" s="1"/>
  <c r="K836" i="53"/>
  <c r="J363" i="53"/>
  <c r="J365" i="53"/>
  <c r="J238" i="53"/>
  <c r="H148" i="53"/>
  <c r="J148" i="53" s="1"/>
  <c r="J142" i="53"/>
  <c r="E241" i="53"/>
  <c r="E239" i="53" s="1"/>
  <c r="E234" i="53" s="1"/>
  <c r="G206" i="53"/>
  <c r="F251" i="53"/>
  <c r="G616" i="53"/>
  <c r="B620" i="53"/>
  <c r="H243" i="53"/>
  <c r="H214" i="53"/>
  <c r="W995" i="53"/>
  <c r="E381" i="53"/>
  <c r="U842" i="53"/>
  <c r="V842" i="53" s="1"/>
  <c r="J840" i="53"/>
  <c r="K840" i="53" s="1"/>
  <c r="K966" i="53"/>
  <c r="B983" i="53" s="1"/>
  <c r="G1057" i="53"/>
  <c r="J209" i="53"/>
  <c r="E4" i="51"/>
  <c r="B5" i="51"/>
  <c r="O6" i="51"/>
  <c r="R6" i="51"/>
  <c r="G9" i="51"/>
  <c r="J9" i="51"/>
  <c r="M9" i="51"/>
  <c r="Q9" i="51"/>
  <c r="T9" i="51"/>
  <c r="W9" i="51"/>
  <c r="E10" i="51"/>
  <c r="F10" i="51"/>
  <c r="G10" i="51"/>
  <c r="G11" i="51" s="1"/>
  <c r="H10" i="51"/>
  <c r="J10" i="51" s="1"/>
  <c r="I10" i="51"/>
  <c r="K10" i="51"/>
  <c r="M10" i="51" s="1"/>
  <c r="L10" i="51"/>
  <c r="L11" i="51" s="1"/>
  <c r="O10" i="51"/>
  <c r="P10" i="51"/>
  <c r="P11" i="51" s="1"/>
  <c r="Q10" i="51"/>
  <c r="Q11" i="51" s="1"/>
  <c r="R10" i="51"/>
  <c r="S10" i="51"/>
  <c r="T10" i="51"/>
  <c r="T11" i="51" s="1"/>
  <c r="U10" i="51"/>
  <c r="W10" i="51" s="1"/>
  <c r="V10" i="51"/>
  <c r="E11" i="51"/>
  <c r="F11" i="51"/>
  <c r="I11" i="51"/>
  <c r="O11" i="51"/>
  <c r="R11" i="51"/>
  <c r="S11" i="51"/>
  <c r="V11" i="51"/>
  <c r="E12" i="51"/>
  <c r="F12" i="51"/>
  <c r="G12" i="51"/>
  <c r="H12" i="51"/>
  <c r="J12" i="51" s="1"/>
  <c r="I12" i="51"/>
  <c r="K12" i="51"/>
  <c r="M12" i="51" s="1"/>
  <c r="L12" i="51"/>
  <c r="O12" i="51"/>
  <c r="P12" i="51"/>
  <c r="Q12" i="51"/>
  <c r="R12" i="51"/>
  <c r="S12" i="51"/>
  <c r="T12" i="51"/>
  <c r="U12" i="51"/>
  <c r="W12" i="51" s="1"/>
  <c r="V12" i="51"/>
  <c r="S13" i="51"/>
  <c r="E14" i="51"/>
  <c r="F14" i="51"/>
  <c r="G14" i="51"/>
  <c r="H14" i="51"/>
  <c r="I14" i="51"/>
  <c r="K14" i="51"/>
  <c r="L14" i="51"/>
  <c r="O14" i="51"/>
  <c r="P14" i="51"/>
  <c r="Q14" i="51"/>
  <c r="R14" i="51"/>
  <c r="S14" i="51"/>
  <c r="T14" i="51"/>
  <c r="U14" i="51"/>
  <c r="V14" i="51"/>
  <c r="E15" i="51"/>
  <c r="F15" i="51"/>
  <c r="F13" i="51" s="1"/>
  <c r="F17" i="51" s="1"/>
  <c r="I15" i="51"/>
  <c r="I13" i="51" s="1"/>
  <c r="I17" i="51" s="1"/>
  <c r="O15" i="51"/>
  <c r="R15" i="51"/>
  <c r="T15" i="51" s="1"/>
  <c r="S15" i="51"/>
  <c r="V15" i="51"/>
  <c r="V13" i="51" s="1"/>
  <c r="V17" i="51" s="1"/>
  <c r="E16" i="51"/>
  <c r="F16" i="51"/>
  <c r="G16" i="51"/>
  <c r="H16" i="51"/>
  <c r="I16" i="51"/>
  <c r="K16" i="51"/>
  <c r="L16" i="51"/>
  <c r="O16" i="51"/>
  <c r="P16" i="51"/>
  <c r="Q16" i="51"/>
  <c r="R16" i="51"/>
  <c r="S16" i="51"/>
  <c r="T16" i="51"/>
  <c r="U16" i="51"/>
  <c r="V16" i="51"/>
  <c r="S17" i="51"/>
  <c r="G22" i="51"/>
  <c r="J22" i="51"/>
  <c r="M22" i="51"/>
  <c r="M25" i="51" s="1"/>
  <c r="Q22" i="51"/>
  <c r="Q25" i="51" s="1"/>
  <c r="T22" i="51"/>
  <c r="W22" i="51"/>
  <c r="E23" i="51"/>
  <c r="F23" i="51"/>
  <c r="F27" i="51" s="1"/>
  <c r="H23" i="51"/>
  <c r="I23" i="51"/>
  <c r="K23" i="51"/>
  <c r="L23" i="51"/>
  <c r="O23" i="51"/>
  <c r="P23" i="51"/>
  <c r="R23" i="51"/>
  <c r="S23" i="51"/>
  <c r="S27" i="51" s="1"/>
  <c r="U23" i="51"/>
  <c r="V23" i="51"/>
  <c r="W23" i="51"/>
  <c r="G24" i="51"/>
  <c r="J24" i="51"/>
  <c r="M24" i="51"/>
  <c r="Q24" i="51"/>
  <c r="T24" i="51"/>
  <c r="W24" i="51"/>
  <c r="G25" i="51"/>
  <c r="J25" i="51"/>
  <c r="T25" i="51"/>
  <c r="W25" i="51"/>
  <c r="G26" i="51"/>
  <c r="J26" i="51"/>
  <c r="M26" i="51"/>
  <c r="T26" i="51"/>
  <c r="W26" i="51"/>
  <c r="E27" i="51"/>
  <c r="H27" i="51"/>
  <c r="I27" i="51"/>
  <c r="J27" i="51"/>
  <c r="J23" i="51" s="1"/>
  <c r="K27" i="51"/>
  <c r="L27" i="51"/>
  <c r="M27" i="51"/>
  <c r="M23" i="51" s="1"/>
  <c r="O27" i="51"/>
  <c r="Q27" i="51" s="1"/>
  <c r="Q23" i="51" s="1"/>
  <c r="P27" i="51"/>
  <c r="R27" i="51"/>
  <c r="U27" i="51"/>
  <c r="V27" i="51"/>
  <c r="W27" i="51"/>
  <c r="G30" i="51"/>
  <c r="J30" i="51"/>
  <c r="M30" i="51"/>
  <c r="M33" i="51" s="1"/>
  <c r="Q30" i="51"/>
  <c r="Q33" i="51" s="1"/>
  <c r="T30" i="51"/>
  <c r="W30" i="51"/>
  <c r="E31" i="51"/>
  <c r="F31" i="51"/>
  <c r="H31" i="51"/>
  <c r="I31" i="51"/>
  <c r="K31" i="51"/>
  <c r="L31" i="51"/>
  <c r="O31" i="51"/>
  <c r="O35" i="51" s="1"/>
  <c r="Q35" i="51" s="1"/>
  <c r="Q31" i="51" s="1"/>
  <c r="P31" i="51"/>
  <c r="R31" i="51"/>
  <c r="S31" i="51"/>
  <c r="S35" i="51" s="1"/>
  <c r="U31" i="51"/>
  <c r="V31" i="51"/>
  <c r="W31" i="51"/>
  <c r="G32" i="51"/>
  <c r="J32" i="51"/>
  <c r="M32" i="51"/>
  <c r="Q32" i="51"/>
  <c r="T32" i="51"/>
  <c r="W32" i="51"/>
  <c r="G33" i="51"/>
  <c r="J33" i="51"/>
  <c r="T33" i="51"/>
  <c r="W33" i="51"/>
  <c r="G34" i="51"/>
  <c r="J34" i="51"/>
  <c r="M34" i="51"/>
  <c r="Q34" i="51"/>
  <c r="T34" i="51"/>
  <c r="W34" i="51"/>
  <c r="E35" i="51"/>
  <c r="F35" i="51"/>
  <c r="H35" i="51"/>
  <c r="I35" i="51"/>
  <c r="J35" i="51"/>
  <c r="J31" i="51" s="1"/>
  <c r="K35" i="51"/>
  <c r="L35" i="51"/>
  <c r="M35" i="51"/>
  <c r="M31" i="51" s="1"/>
  <c r="P35" i="51"/>
  <c r="R35" i="51"/>
  <c r="U35" i="51"/>
  <c r="V35" i="51"/>
  <c r="W35" i="51"/>
  <c r="G38" i="51"/>
  <c r="J38" i="51"/>
  <c r="M38" i="51"/>
  <c r="M41" i="51" s="1"/>
  <c r="Q38" i="51"/>
  <c r="Q41" i="51" s="1"/>
  <c r="T38" i="51"/>
  <c r="W38" i="51"/>
  <c r="E39" i="51"/>
  <c r="F39" i="51"/>
  <c r="H39" i="51"/>
  <c r="I39" i="51"/>
  <c r="J39" i="51"/>
  <c r="K39" i="51"/>
  <c r="L39" i="51"/>
  <c r="O39" i="51"/>
  <c r="O43" i="51" s="1"/>
  <c r="Q43" i="51" s="1"/>
  <c r="Q39" i="51" s="1"/>
  <c r="P39" i="51"/>
  <c r="R39" i="51"/>
  <c r="S39" i="51"/>
  <c r="S43" i="51" s="1"/>
  <c r="U39" i="51"/>
  <c r="V39" i="51"/>
  <c r="G40" i="51"/>
  <c r="J40" i="51"/>
  <c r="M40" i="51"/>
  <c r="Q40" i="51"/>
  <c r="T40" i="51"/>
  <c r="W40" i="51"/>
  <c r="G41" i="51"/>
  <c r="J41" i="51"/>
  <c r="T41" i="51"/>
  <c r="W41" i="51"/>
  <c r="G42" i="51"/>
  <c r="J42" i="51"/>
  <c r="M42" i="51"/>
  <c r="Q42" i="51"/>
  <c r="T42" i="51"/>
  <c r="W42" i="51"/>
  <c r="E43" i="51"/>
  <c r="F43" i="51"/>
  <c r="H43" i="51"/>
  <c r="I43" i="51"/>
  <c r="J43" i="51"/>
  <c r="K43" i="51"/>
  <c r="L43" i="51"/>
  <c r="M43" i="51"/>
  <c r="M39" i="51" s="1"/>
  <c r="P43" i="51"/>
  <c r="R43" i="51"/>
  <c r="U43" i="51"/>
  <c r="V43" i="51"/>
  <c r="W43" i="51"/>
  <c r="W39" i="51" s="1"/>
  <c r="G46" i="51"/>
  <c r="J46" i="51"/>
  <c r="M46" i="51"/>
  <c r="M49" i="51" s="1"/>
  <c r="Q46" i="51"/>
  <c r="Q49" i="51" s="1"/>
  <c r="T46" i="51"/>
  <c r="W46" i="51"/>
  <c r="E47" i="51"/>
  <c r="F47" i="51"/>
  <c r="F51" i="51" s="1"/>
  <c r="H47" i="51"/>
  <c r="I47" i="51"/>
  <c r="J47" i="51"/>
  <c r="K47" i="51"/>
  <c r="L47" i="51"/>
  <c r="O47" i="51"/>
  <c r="O51" i="51" s="1"/>
  <c r="Q51" i="51" s="1"/>
  <c r="Q47" i="51" s="1"/>
  <c r="P47" i="51"/>
  <c r="R47" i="51"/>
  <c r="S47" i="51"/>
  <c r="U47" i="51"/>
  <c r="V47" i="51"/>
  <c r="W47" i="51"/>
  <c r="G48" i="51"/>
  <c r="J48" i="51"/>
  <c r="M48" i="51"/>
  <c r="Q48" i="51"/>
  <c r="T48" i="51"/>
  <c r="W48" i="51"/>
  <c r="G49" i="51"/>
  <c r="J49" i="51"/>
  <c r="T49" i="51"/>
  <c r="W49" i="51"/>
  <c r="G50" i="51"/>
  <c r="J50" i="51"/>
  <c r="M50" i="51"/>
  <c r="T50" i="51"/>
  <c r="W50" i="51"/>
  <c r="E51" i="51"/>
  <c r="H51" i="51"/>
  <c r="I51" i="51"/>
  <c r="J51" i="51"/>
  <c r="K51" i="51"/>
  <c r="L51" i="51"/>
  <c r="M51" i="51"/>
  <c r="M47" i="51" s="1"/>
  <c r="P51" i="51"/>
  <c r="R51" i="51"/>
  <c r="S51" i="51"/>
  <c r="U51" i="51"/>
  <c r="V51" i="51"/>
  <c r="W51" i="51"/>
  <c r="G54" i="51"/>
  <c r="J54" i="51"/>
  <c r="M54" i="51"/>
  <c r="M57" i="51" s="1"/>
  <c r="Q54" i="51"/>
  <c r="Q57" i="51" s="1"/>
  <c r="T54" i="51"/>
  <c r="W54" i="51"/>
  <c r="E55" i="51"/>
  <c r="F55" i="51"/>
  <c r="F59" i="51" s="1"/>
  <c r="H55" i="51"/>
  <c r="I55" i="51"/>
  <c r="K55" i="51"/>
  <c r="L55" i="51"/>
  <c r="O55" i="51"/>
  <c r="P55" i="51"/>
  <c r="R55" i="51"/>
  <c r="S55" i="51"/>
  <c r="S59" i="51" s="1"/>
  <c r="U55" i="51"/>
  <c r="V55" i="51"/>
  <c r="W55" i="51"/>
  <c r="G56" i="51"/>
  <c r="J56" i="51"/>
  <c r="M56" i="51"/>
  <c r="Q56" i="51"/>
  <c r="T56" i="51"/>
  <c r="W56" i="51"/>
  <c r="G57" i="51"/>
  <c r="J57" i="51"/>
  <c r="T57" i="51"/>
  <c r="W57" i="51"/>
  <c r="G58" i="51"/>
  <c r="J58" i="51"/>
  <c r="M58" i="51"/>
  <c r="T58" i="51"/>
  <c r="W58" i="51"/>
  <c r="E59" i="51"/>
  <c r="H59" i="51"/>
  <c r="I59" i="51"/>
  <c r="J59" i="51"/>
  <c r="J55" i="51" s="1"/>
  <c r="K59" i="51"/>
  <c r="L59" i="51"/>
  <c r="M59" i="51"/>
  <c r="M55" i="51" s="1"/>
  <c r="O59" i="51"/>
  <c r="Q59" i="51" s="1"/>
  <c r="Q55" i="51" s="1"/>
  <c r="P59" i="51"/>
  <c r="R59" i="51"/>
  <c r="U59" i="51"/>
  <c r="V59" i="51"/>
  <c r="W59" i="51"/>
  <c r="I9" i="45"/>
  <c r="I27" i="45" s="1"/>
  <c r="H9" i="45"/>
  <c r="H27" i="45" s="1"/>
  <c r="G9" i="45"/>
  <c r="G27" i="45" s="1"/>
  <c r="F9" i="45"/>
  <c r="F27" i="45" s="1"/>
  <c r="E9" i="45"/>
  <c r="E27" i="45" s="1"/>
  <c r="H25" i="44"/>
  <c r="E25" i="44"/>
  <c r="G4" i="44"/>
  <c r="D4" i="44"/>
  <c r="H5" i="9"/>
  <c r="A5" i="34"/>
  <c r="E61" i="33"/>
  <c r="E50" i="33"/>
  <c r="D6" i="33"/>
  <c r="J834" i="53" l="1"/>
  <c r="K834" i="53" s="1"/>
  <c r="K1054" i="53"/>
  <c r="J1053" i="53"/>
  <c r="K1053" i="53" s="1"/>
  <c r="B1063" i="53" s="1"/>
  <c r="G381" i="53"/>
  <c r="E382" i="53"/>
  <c r="F213" i="53"/>
  <c r="F242" i="53"/>
  <c r="F241" i="53" s="1"/>
  <c r="F239" i="53" s="1"/>
  <c r="F234" i="53" s="1"/>
  <c r="I244" i="53"/>
  <c r="J244" i="53" s="1"/>
  <c r="I215" i="53"/>
  <c r="J215" i="53" s="1"/>
  <c r="H338" i="53"/>
  <c r="G211" i="53"/>
  <c r="G210" i="53" s="1"/>
  <c r="G205" i="53" s="1"/>
  <c r="E1140" i="53" s="1"/>
  <c r="E1142" i="53" s="1"/>
  <c r="G240" i="53"/>
  <c r="G239" i="53" s="1"/>
  <c r="G234" i="53" s="1"/>
  <c r="J243" i="53"/>
  <c r="J206" i="53"/>
  <c r="B264" i="53"/>
  <c r="J830" i="53"/>
  <c r="J382" i="53"/>
  <c r="J380" i="53"/>
  <c r="K1056" i="53"/>
  <c r="J1058" i="53"/>
  <c r="K1058" i="53" s="1"/>
  <c r="J1057" i="53"/>
  <c r="G363" i="53"/>
  <c r="G365" i="53"/>
  <c r="H211" i="53"/>
  <c r="H240" i="53"/>
  <c r="I320" i="53"/>
  <c r="I1058" i="53"/>
  <c r="I1057" i="53"/>
  <c r="W865" i="53"/>
  <c r="V861" i="53"/>
  <c r="I1060" i="53"/>
  <c r="K1060" i="53" s="1"/>
  <c r="J235" i="53"/>
  <c r="J214" i="53"/>
  <c r="G59" i="51"/>
  <c r="G55" i="51" s="1"/>
  <c r="T43" i="51"/>
  <c r="T39" i="51" s="1"/>
  <c r="G27" i="51"/>
  <c r="G23" i="51" s="1"/>
  <c r="J11" i="51"/>
  <c r="T51" i="51"/>
  <c r="T47" i="51" s="1"/>
  <c r="G35" i="51"/>
  <c r="G31" i="51" s="1"/>
  <c r="J16" i="51"/>
  <c r="O13" i="51"/>
  <c r="O17" i="51" s="1"/>
  <c r="Q15" i="51"/>
  <c r="G15" i="51"/>
  <c r="J14" i="51"/>
  <c r="T59" i="51"/>
  <c r="T55" i="51" s="1"/>
  <c r="Q50" i="51"/>
  <c r="G43" i="51"/>
  <c r="G39" i="51" s="1"/>
  <c r="T27" i="51"/>
  <c r="T23" i="51" s="1"/>
  <c r="L13" i="51"/>
  <c r="L17" i="51" s="1"/>
  <c r="W11" i="51"/>
  <c r="M11" i="51"/>
  <c r="Q58" i="51"/>
  <c r="G51" i="51"/>
  <c r="G47" i="51" s="1"/>
  <c r="T35" i="51"/>
  <c r="T31" i="51" s="1"/>
  <c r="Q26" i="51"/>
  <c r="W16" i="51"/>
  <c r="M16" i="51"/>
  <c r="W14" i="51"/>
  <c r="U15" i="51"/>
  <c r="W15" i="51" s="1"/>
  <c r="L15" i="51"/>
  <c r="H15" i="51"/>
  <c r="J15" i="51" s="1"/>
  <c r="U11" i="51"/>
  <c r="H11" i="51"/>
  <c r="R13" i="51"/>
  <c r="R17" i="51" s="1"/>
  <c r="T17" i="51" s="1"/>
  <c r="T13" i="51" s="1"/>
  <c r="E13" i="51"/>
  <c r="E17" i="51" s="1"/>
  <c r="G17" i="51" s="1"/>
  <c r="G13" i="51" s="1"/>
  <c r="P15" i="51"/>
  <c r="P13" i="51" s="1"/>
  <c r="P17" i="51" s="1"/>
  <c r="K15" i="51"/>
  <c r="M15" i="51" s="1"/>
  <c r="M14" i="51"/>
  <c r="K11" i="51"/>
  <c r="B5" i="32"/>
  <c r="C27" i="32"/>
  <c r="B7" i="30"/>
  <c r="B33" i="29"/>
  <c r="B21" i="29"/>
  <c r="B5" i="29"/>
  <c r="C42" i="8"/>
  <c r="C40" i="8"/>
  <c r="C39" i="8"/>
  <c r="C38" i="8"/>
  <c r="C37" i="8"/>
  <c r="C36" i="8"/>
  <c r="C34" i="8"/>
  <c r="C33" i="8"/>
  <c r="C32" i="8"/>
  <c r="C31" i="8"/>
  <c r="C30" i="8"/>
  <c r="C28" i="8"/>
  <c r="C27" i="8"/>
  <c r="C25" i="8"/>
  <c r="C24" i="8"/>
  <c r="C22" i="8"/>
  <c r="C21" i="8"/>
  <c r="C19" i="8"/>
  <c r="C18" i="8"/>
  <c r="C17" i="8"/>
  <c r="C15" i="8"/>
  <c r="C13" i="8"/>
  <c r="C12" i="8"/>
  <c r="C9" i="8"/>
  <c r="C8" i="8"/>
  <c r="C7" i="8"/>
  <c r="C5" i="8"/>
  <c r="B3" i="8"/>
  <c r="I8" i="7"/>
  <c r="H8" i="7"/>
  <c r="F8" i="7"/>
  <c r="E8" i="7"/>
  <c r="A4" i="25"/>
  <c r="J7" i="28"/>
  <c r="I7" i="28"/>
  <c r="K1057" i="53" l="1"/>
  <c r="U835" i="53"/>
  <c r="W861" i="53"/>
  <c r="I338" i="53"/>
  <c r="B340" i="53"/>
  <c r="I211" i="53"/>
  <c r="I240" i="53"/>
  <c r="B384" i="53"/>
  <c r="F212" i="53"/>
  <c r="F210" i="53" s="1"/>
  <c r="F205" i="53" s="1"/>
  <c r="I213" i="53"/>
  <c r="I242" i="53"/>
  <c r="B388" i="53"/>
  <c r="K1023" i="53"/>
  <c r="K1024" i="53" s="1"/>
  <c r="K830" i="53"/>
  <c r="J845" i="53"/>
  <c r="K845" i="53" s="1"/>
  <c r="B849" i="53" s="1"/>
  <c r="G380" i="53"/>
  <c r="G382" i="53"/>
  <c r="Q17" i="51"/>
  <c r="Q13" i="51" s="1"/>
  <c r="K13" i="51"/>
  <c r="K17" i="51" s="1"/>
  <c r="M17" i="51" s="1"/>
  <c r="M13" i="51" s="1"/>
  <c r="H13" i="51"/>
  <c r="H17" i="51" s="1"/>
  <c r="J17" i="51" s="1"/>
  <c r="J13" i="51" s="1"/>
  <c r="U13" i="51"/>
  <c r="U17" i="51" s="1"/>
  <c r="W17" i="51" s="1"/>
  <c r="W13" i="51" s="1"/>
  <c r="G7" i="28"/>
  <c r="F7" i="28"/>
  <c r="E7" i="28"/>
  <c r="D7" i="28"/>
  <c r="B43" i="28"/>
  <c r="F7" i="24"/>
  <c r="E7" i="24"/>
  <c r="D7" i="24"/>
  <c r="C7" i="24"/>
  <c r="AH6" i="23"/>
  <c r="Y5" i="23"/>
  <c r="V5" i="23"/>
  <c r="S5" i="23"/>
  <c r="Q5" i="23"/>
  <c r="M5" i="23"/>
  <c r="AO6" i="22"/>
  <c r="AN6" i="22"/>
  <c r="AJ5" i="22"/>
  <c r="AI5" i="22"/>
  <c r="AD5" i="22"/>
  <c r="AC5" i="22"/>
  <c r="AB5" i="22"/>
  <c r="Y5" i="22"/>
  <c r="M5" i="22"/>
  <c r="S5" i="22"/>
  <c r="Q5" i="22"/>
  <c r="C3" i="22"/>
  <c r="B36" i="27"/>
  <c r="B26" i="27"/>
  <c r="B15" i="27"/>
  <c r="T7" i="26"/>
  <c r="S7" i="26"/>
  <c r="P7" i="26"/>
  <c r="O7" i="26"/>
  <c r="I7" i="26"/>
  <c r="H7" i="26"/>
  <c r="G7" i="26"/>
  <c r="F7" i="26"/>
  <c r="P35" i="21"/>
  <c r="O35" i="21"/>
  <c r="N35" i="21"/>
  <c r="B32" i="21"/>
  <c r="U7" i="21"/>
  <c r="U6" i="21"/>
  <c r="O7" i="21"/>
  <c r="N6" i="21"/>
  <c r="N7" i="21"/>
  <c r="M6" i="21"/>
  <c r="B4" i="21"/>
  <c r="Q37" i="20"/>
  <c r="P37" i="20"/>
  <c r="O37" i="20"/>
  <c r="O36" i="20"/>
  <c r="B34" i="20"/>
  <c r="P9" i="20"/>
  <c r="N8" i="20"/>
  <c r="O9" i="20"/>
  <c r="N9" i="20"/>
  <c r="M8" i="20"/>
  <c r="B6" i="20"/>
  <c r="W8" i="19"/>
  <c r="W6" i="19"/>
  <c r="U6" i="19"/>
  <c r="T6" i="19"/>
  <c r="S6" i="19"/>
  <c r="B4" i="19"/>
  <c r="V7" i="18"/>
  <c r="T7" i="18"/>
  <c r="U7" i="18"/>
  <c r="T6" i="18"/>
  <c r="S6" i="18"/>
  <c r="B4" i="18"/>
  <c r="AG7" i="17"/>
  <c r="U7" i="17"/>
  <c r="T7" i="17"/>
  <c r="T6" i="17"/>
  <c r="S6" i="17"/>
  <c r="L9" i="17"/>
  <c r="K6" i="17"/>
  <c r="B4" i="17"/>
  <c r="AH6" i="16"/>
  <c r="T6" i="16"/>
  <c r="I241" i="53" l="1"/>
  <c r="I212" i="53"/>
  <c r="J240" i="53"/>
  <c r="B341" i="53" s="1"/>
  <c r="I239" i="53"/>
  <c r="H213" i="53"/>
  <c r="H212" i="53" s="1"/>
  <c r="H210" i="53" s="1"/>
  <c r="H205" i="53" s="1"/>
  <c r="H242" i="53"/>
  <c r="H241" i="53" s="1"/>
  <c r="H239" i="53" s="1"/>
  <c r="H234" i="53" s="1"/>
  <c r="J211" i="53"/>
  <c r="V835" i="53"/>
  <c r="U833" i="53"/>
  <c r="V7" i="16"/>
  <c r="U7" i="16"/>
  <c r="T7" i="16"/>
  <c r="B4" i="16"/>
  <c r="I6" i="15"/>
  <c r="H6" i="15"/>
  <c r="F6" i="15"/>
  <c r="E6" i="15"/>
  <c r="D6" i="15"/>
  <c r="J6" i="15"/>
  <c r="L6" i="15"/>
  <c r="J213" i="53" l="1"/>
  <c r="B393" i="53" s="1"/>
  <c r="B262" i="53"/>
  <c r="F1140" i="53"/>
  <c r="F1142" i="53" s="1"/>
  <c r="J212" i="53"/>
  <c r="J239" i="53"/>
  <c r="I234" i="53"/>
  <c r="J234" i="53" s="1"/>
  <c r="J242" i="53"/>
  <c r="U830" i="53"/>
  <c r="V833" i="53"/>
  <c r="J241" i="53"/>
  <c r="S6" i="14"/>
  <c r="T7" i="11"/>
  <c r="P6" i="14"/>
  <c r="R6" i="14"/>
  <c r="S7" i="11"/>
  <c r="P7" i="11"/>
  <c r="O6" i="14"/>
  <c r="O7" i="11"/>
  <c r="I6" i="14"/>
  <c r="I7" i="11"/>
  <c r="H6" i="14"/>
  <c r="H7" i="11"/>
  <c r="G6" i="14"/>
  <c r="G7" i="11"/>
  <c r="F6" i="14"/>
  <c r="F7" i="11"/>
  <c r="N5" i="13"/>
  <c r="M5" i="13"/>
  <c r="K5" i="13"/>
  <c r="J5" i="13"/>
  <c r="H5" i="13"/>
  <c r="G5" i="13"/>
  <c r="Z5" i="10"/>
  <c r="Y5" i="10"/>
  <c r="U5" i="10"/>
  <c r="T5" i="10"/>
  <c r="M5" i="10"/>
  <c r="K5" i="10"/>
  <c r="L5" i="10"/>
  <c r="N5" i="10"/>
  <c r="M13" i="5"/>
  <c r="AH13" i="5"/>
  <c r="AL13" i="4"/>
  <c r="AF13" i="5"/>
  <c r="AJ13" i="4"/>
  <c r="AC13" i="5"/>
  <c r="AG13" i="4"/>
  <c r="AA13" i="5"/>
  <c r="AE13" i="4"/>
  <c r="Y13" i="5"/>
  <c r="AC13" i="4"/>
  <c r="V13" i="5"/>
  <c r="Z13" i="4"/>
  <c r="T13" i="5"/>
  <c r="X13" i="4"/>
  <c r="R13" i="5"/>
  <c r="O13" i="5"/>
  <c r="K13" i="5"/>
  <c r="U843" i="53" l="1"/>
  <c r="V843" i="53" s="1"/>
  <c r="V830" i="53"/>
  <c r="CH59" i="49"/>
  <c r="CM59" i="49" s="1"/>
  <c r="CC59" i="49"/>
  <c r="CC56" i="49" s="1"/>
  <c r="CQ56" i="49"/>
  <c r="CL56" i="49"/>
  <c r="CK56" i="49"/>
  <c r="CP56" i="49" s="1"/>
  <c r="CJ56" i="49"/>
  <c r="CO56" i="49" s="1"/>
  <c r="CI56" i="49"/>
  <c r="CN56" i="49" s="1"/>
  <c r="CG56" i="49"/>
  <c r="CF56" i="49"/>
  <c r="CE56" i="49"/>
  <c r="CD56" i="49"/>
  <c r="BO59" i="49"/>
  <c r="BT59" i="49" s="1"/>
  <c r="BJ59" i="49"/>
  <c r="BV56" i="49"/>
  <c r="BS56" i="49"/>
  <c r="BX56" i="49" s="1"/>
  <c r="BR56" i="49"/>
  <c r="BW56" i="49" s="1"/>
  <c r="BQ56" i="49"/>
  <c r="BP56" i="49"/>
  <c r="BU56" i="49" s="1"/>
  <c r="BN56" i="49"/>
  <c r="BM56" i="49"/>
  <c r="BL56" i="49"/>
  <c r="BK56" i="49"/>
  <c r="BJ56" i="49"/>
  <c r="BA59" i="49"/>
  <c r="AV59" i="49"/>
  <c r="AQ59" i="49"/>
  <c r="AQ56" i="49" s="1"/>
  <c r="BD56" i="49"/>
  <c r="AZ56" i="49"/>
  <c r="BE56" i="49" s="1"/>
  <c r="AY56" i="49"/>
  <c r="AX56" i="49"/>
  <c r="BC56" i="49" s="1"/>
  <c r="AW56" i="49"/>
  <c r="BB56" i="49" s="1"/>
  <c r="AV56" i="49"/>
  <c r="AU56" i="49"/>
  <c r="AT56" i="49"/>
  <c r="AS56" i="49"/>
  <c r="AR56" i="49"/>
  <c r="AC59" i="49"/>
  <c r="AH59" i="49" s="1"/>
  <c r="X59" i="49"/>
  <c r="AJ56" i="49"/>
  <c r="AG56" i="49"/>
  <c r="AL56" i="49" s="1"/>
  <c r="AF56" i="49"/>
  <c r="AK56" i="49" s="1"/>
  <c r="AE56" i="49"/>
  <c r="AD56" i="49"/>
  <c r="AI56" i="49" s="1"/>
  <c r="AB56" i="49"/>
  <c r="AA56" i="49"/>
  <c r="Z56" i="49"/>
  <c r="Y56" i="49"/>
  <c r="X56" i="49"/>
  <c r="CM56" i="49" l="1"/>
  <c r="CH56" i="49"/>
  <c r="BT56" i="49"/>
  <c r="BO56" i="49"/>
  <c r="BA56" i="49"/>
  <c r="AH56" i="49"/>
  <c r="AC56" i="49"/>
  <c r="J59" i="49"/>
  <c r="O59" i="49" s="1"/>
  <c r="E59" i="49"/>
  <c r="S56" i="49"/>
  <c r="N56" i="49"/>
  <c r="M56" i="49"/>
  <c r="R56" i="49" s="1"/>
  <c r="L56" i="49"/>
  <c r="K56" i="49"/>
  <c r="P56" i="49" s="1"/>
  <c r="I56" i="49"/>
  <c r="H56" i="49"/>
  <c r="G56" i="49"/>
  <c r="Q56" i="49" s="1"/>
  <c r="F56" i="49"/>
  <c r="O56" i="49" l="1"/>
  <c r="E56" i="49"/>
  <c r="J56" i="49"/>
  <c r="AN13" i="4" l="1"/>
  <c r="AI13" i="4"/>
  <c r="AB13" i="4"/>
  <c r="V13" i="4"/>
  <c r="U13" i="4"/>
  <c r="S13" i="4"/>
  <c r="Q13" i="4"/>
  <c r="O13" i="4"/>
  <c r="AK29" i="50"/>
  <c r="U29" i="50"/>
  <c r="E29" i="50"/>
  <c r="AK4" i="50"/>
  <c r="U4" i="50"/>
  <c r="E4" i="50"/>
  <c r="AU6" i="50"/>
  <c r="AP6" i="50"/>
  <c r="AK6" i="50"/>
  <c r="AE6" i="50"/>
  <c r="Z6" i="50"/>
  <c r="U6" i="50"/>
  <c r="O6" i="50"/>
  <c r="J6" i="50"/>
  <c r="E6" i="50"/>
  <c r="CM6" i="49"/>
  <c r="CH6" i="49"/>
  <c r="CC6" i="49"/>
  <c r="BO6" i="49"/>
  <c r="BT6" i="49"/>
  <c r="BJ6" i="49"/>
  <c r="BA6" i="49"/>
  <c r="AV6" i="49"/>
  <c r="AQ6" i="49"/>
  <c r="AH6" i="49"/>
  <c r="AC6" i="49"/>
  <c r="X6" i="49"/>
  <c r="O6" i="49"/>
  <c r="J6" i="49"/>
  <c r="E6" i="49" l="1"/>
  <c r="E28" i="49" s="1"/>
  <c r="L27" i="15" l="1"/>
  <c r="I27" i="15"/>
  <c r="L18" i="15"/>
  <c r="I18" i="15"/>
  <c r="L28" i="15"/>
  <c r="L19" i="15"/>
  <c r="I28" i="15"/>
  <c r="I19" i="15"/>
  <c r="F14" i="15"/>
  <c r="F11" i="15"/>
  <c r="I17" i="15" l="1"/>
  <c r="K13" i="15" l="1"/>
  <c r="E4" i="8" l="1"/>
  <c r="B4" i="7"/>
  <c r="AU55" i="50" l="1"/>
  <c r="AP55" i="50"/>
  <c r="AK55" i="50"/>
  <c r="AU31" i="50"/>
  <c r="AP31" i="50"/>
  <c r="AK31" i="50"/>
  <c r="AE55" i="50"/>
  <c r="Z55" i="50"/>
  <c r="U55" i="50"/>
  <c r="AE31" i="50"/>
  <c r="Z31" i="50"/>
  <c r="U31" i="50"/>
  <c r="AT61" i="50"/>
  <c r="AS61" i="50"/>
  <c r="AR61" i="50"/>
  <c r="AQ61" i="50"/>
  <c r="AO61" i="50"/>
  <c r="AN61" i="50"/>
  <c r="AM61" i="50"/>
  <c r="AL61" i="50"/>
  <c r="AT60" i="50"/>
  <c r="AS60" i="50"/>
  <c r="AR60" i="50"/>
  <c r="AQ60" i="50"/>
  <c r="AO60" i="50"/>
  <c r="AN60" i="50"/>
  <c r="AM60" i="50"/>
  <c r="AL60" i="50"/>
  <c r="AT59" i="50"/>
  <c r="AS59" i="50"/>
  <c r="AR59" i="50"/>
  <c r="AQ59" i="50"/>
  <c r="AO59" i="50"/>
  <c r="AN59" i="50"/>
  <c r="AM59" i="50"/>
  <c r="AL59" i="50"/>
  <c r="AS58" i="50"/>
  <c r="AT57" i="50"/>
  <c r="AS57" i="50"/>
  <c r="AR57" i="50"/>
  <c r="AQ57" i="50"/>
  <c r="AO57" i="50"/>
  <c r="AN57" i="50"/>
  <c r="AM57" i="50"/>
  <c r="AL57" i="50"/>
  <c r="AY48" i="50"/>
  <c r="AX48" i="50"/>
  <c r="AU48" i="50" s="1"/>
  <c r="AW48" i="50"/>
  <c r="AV48" i="50"/>
  <c r="AP48" i="50"/>
  <c r="AK48" i="50"/>
  <c r="AY47" i="50"/>
  <c r="AX47" i="50"/>
  <c r="AW47" i="50"/>
  <c r="AV47" i="50"/>
  <c r="AP47" i="50"/>
  <c r="AK47" i="50"/>
  <c r="AY46" i="50"/>
  <c r="AX46" i="50"/>
  <c r="AX45" i="50" s="1"/>
  <c r="AW46" i="50"/>
  <c r="AW45" i="50" s="1"/>
  <c r="AV46" i="50"/>
  <c r="AP46" i="50"/>
  <c r="AK46" i="50"/>
  <c r="AV45" i="50"/>
  <c r="AT45" i="50"/>
  <c r="AT38" i="50" s="1"/>
  <c r="AS45" i="50"/>
  <c r="AR45" i="50"/>
  <c r="AQ45" i="50"/>
  <c r="AO45" i="50"/>
  <c r="AO38" i="50" s="1"/>
  <c r="AO34" i="50" s="1"/>
  <c r="AO33" i="50" s="1"/>
  <c r="AN45" i="50"/>
  <c r="AM45" i="50"/>
  <c r="AL45" i="50"/>
  <c r="AY44" i="50"/>
  <c r="AX44" i="50"/>
  <c r="AW44" i="50"/>
  <c r="AV44" i="50"/>
  <c r="AU44" i="50"/>
  <c r="AP44" i="50"/>
  <c r="AK44" i="50"/>
  <c r="AY42" i="50"/>
  <c r="AX42" i="50"/>
  <c r="AX57" i="50" s="1"/>
  <c r="AW42" i="50"/>
  <c r="AV42" i="50"/>
  <c r="AU42" i="50" s="1"/>
  <c r="AP42" i="50"/>
  <c r="AK42" i="50"/>
  <c r="AY41" i="50"/>
  <c r="AX41" i="50"/>
  <c r="AW41" i="50"/>
  <c r="AY40" i="50"/>
  <c r="AX40" i="50"/>
  <c r="AW40" i="50"/>
  <c r="AV40" i="50"/>
  <c r="AP40" i="50"/>
  <c r="AK40" i="50"/>
  <c r="AY39" i="50"/>
  <c r="AU39" i="50" s="1"/>
  <c r="AX39" i="50"/>
  <c r="AW39" i="50"/>
  <c r="AV39" i="50"/>
  <c r="AP39" i="50"/>
  <c r="AK39" i="50"/>
  <c r="AY37" i="50"/>
  <c r="AX37" i="50"/>
  <c r="AR36" i="50"/>
  <c r="AR34" i="50" s="1"/>
  <c r="AY35" i="50"/>
  <c r="AX35" i="50"/>
  <c r="AW35" i="50"/>
  <c r="AV35" i="50"/>
  <c r="AP35" i="50"/>
  <c r="AK35" i="50"/>
  <c r="AV34" i="50"/>
  <c r="AQ34" i="50"/>
  <c r="AL34" i="50"/>
  <c r="AY23" i="50"/>
  <c r="AX23" i="50"/>
  <c r="AW23" i="50"/>
  <c r="AV23" i="50"/>
  <c r="AV61" i="50" s="1"/>
  <c r="AP23" i="50"/>
  <c r="AK23" i="50"/>
  <c r="AY22" i="50"/>
  <c r="AY60" i="50" s="1"/>
  <c r="AX22" i="50"/>
  <c r="AW22" i="50"/>
  <c r="AV22" i="50"/>
  <c r="AP22" i="50"/>
  <c r="AK22" i="50"/>
  <c r="AY21" i="50"/>
  <c r="AY20" i="50" s="1"/>
  <c r="AX21" i="50"/>
  <c r="AX59" i="50" s="1"/>
  <c r="AW21" i="50"/>
  <c r="AW59" i="50" s="1"/>
  <c r="AV21" i="50"/>
  <c r="AU21" i="50" s="1"/>
  <c r="AP21" i="50"/>
  <c r="AP59" i="50" s="1"/>
  <c r="AK21" i="50"/>
  <c r="AK59" i="50" s="1"/>
  <c r="AT20" i="50"/>
  <c r="AT13" i="50" s="1"/>
  <c r="AS20" i="50"/>
  <c r="AR20" i="50"/>
  <c r="AR58" i="50" s="1"/>
  <c r="AQ20" i="50"/>
  <c r="AP20" i="50" s="1"/>
  <c r="AQ16" i="50" s="1"/>
  <c r="AO20" i="50"/>
  <c r="AO58" i="50" s="1"/>
  <c r="AN20" i="50"/>
  <c r="AM20" i="50"/>
  <c r="AL20" i="50"/>
  <c r="AK20" i="50" s="1"/>
  <c r="AY19" i="50"/>
  <c r="AX19" i="50"/>
  <c r="AW19" i="50"/>
  <c r="AV19" i="50"/>
  <c r="AP19" i="50"/>
  <c r="AK19" i="50"/>
  <c r="AY17" i="50"/>
  <c r="AX17" i="50"/>
  <c r="AW17" i="50"/>
  <c r="AW57" i="50" s="1"/>
  <c r="AV17" i="50"/>
  <c r="AU17" i="50"/>
  <c r="AP17" i="50"/>
  <c r="AK17" i="50"/>
  <c r="AY16" i="50"/>
  <c r="AX16" i="50"/>
  <c r="AW16" i="50"/>
  <c r="AY15" i="50"/>
  <c r="AU15" i="50" s="1"/>
  <c r="AX15" i="50"/>
  <c r="AW15" i="50"/>
  <c r="AV15" i="50"/>
  <c r="AP15" i="50"/>
  <c r="AK15" i="50"/>
  <c r="AY14" i="50"/>
  <c r="AX14" i="50"/>
  <c r="AW14" i="50"/>
  <c r="AV14" i="50"/>
  <c r="AP14" i="50"/>
  <c r="AK14" i="50"/>
  <c r="AO13" i="50"/>
  <c r="AO9" i="50" s="1"/>
  <c r="AO8" i="50" s="1"/>
  <c r="AO24" i="50" s="1"/>
  <c r="AY12" i="50"/>
  <c r="AX12" i="50"/>
  <c r="AY10" i="50"/>
  <c r="AX10" i="50"/>
  <c r="AW10" i="50"/>
  <c r="AV10" i="50"/>
  <c r="AP10" i="50"/>
  <c r="AK10" i="50"/>
  <c r="AV9" i="50"/>
  <c r="AQ9" i="50"/>
  <c r="AL9" i="50"/>
  <c r="AD61" i="50"/>
  <c r="AC61" i="50"/>
  <c r="AB61" i="50"/>
  <c r="AA61" i="50"/>
  <c r="Y61" i="50"/>
  <c r="X61" i="50"/>
  <c r="W61" i="50"/>
  <c r="V61" i="50"/>
  <c r="AI60" i="50"/>
  <c r="AD60" i="50"/>
  <c r="AC60" i="50"/>
  <c r="AB60" i="50"/>
  <c r="AA60" i="50"/>
  <c r="Y60" i="50"/>
  <c r="X60" i="50"/>
  <c r="W60" i="50"/>
  <c r="V60" i="50"/>
  <c r="AD59" i="50"/>
  <c r="AC59" i="50"/>
  <c r="AB59" i="50"/>
  <c r="AA59" i="50"/>
  <c r="Y59" i="50"/>
  <c r="X59" i="50"/>
  <c r="W59" i="50"/>
  <c r="V59" i="50"/>
  <c r="AD57" i="50"/>
  <c r="AC57" i="50"/>
  <c r="AB57" i="50"/>
  <c r="AA57" i="50"/>
  <c r="Y57" i="50"/>
  <c r="X57" i="50"/>
  <c r="W57" i="50"/>
  <c r="V57" i="50"/>
  <c r="AI48" i="50"/>
  <c r="AH48" i="50"/>
  <c r="AG48" i="50"/>
  <c r="AF48" i="50"/>
  <c r="Z48" i="50"/>
  <c r="U48" i="50"/>
  <c r="AI47" i="50"/>
  <c r="AH47" i="50"/>
  <c r="AG47" i="50"/>
  <c r="AF47" i="50"/>
  <c r="Z47" i="50"/>
  <c r="U47" i="50"/>
  <c r="AI46" i="50"/>
  <c r="AI45" i="50" s="1"/>
  <c r="AI38" i="50" s="1"/>
  <c r="AI34" i="50" s="1"/>
  <c r="AI33" i="50" s="1"/>
  <c r="AH46" i="50"/>
  <c r="AG46" i="50"/>
  <c r="AF46" i="50"/>
  <c r="Z46" i="50"/>
  <c r="U46" i="50"/>
  <c r="AG45" i="50"/>
  <c r="AD45" i="50"/>
  <c r="AC45" i="50"/>
  <c r="AB45" i="50"/>
  <c r="AA45" i="50"/>
  <c r="Z45" i="50" s="1"/>
  <c r="Y45" i="50"/>
  <c r="Y38" i="50" s="1"/>
  <c r="Y34" i="50" s="1"/>
  <c r="Y33" i="50" s="1"/>
  <c r="X45" i="50"/>
  <c r="X36" i="50" s="1"/>
  <c r="X34" i="50" s="1"/>
  <c r="X33" i="50" s="1"/>
  <c r="W45" i="50"/>
  <c r="W36" i="50" s="1"/>
  <c r="W34" i="50" s="1"/>
  <c r="V45" i="50"/>
  <c r="AI44" i="50"/>
  <c r="AH44" i="50"/>
  <c r="AG44" i="50"/>
  <c r="AF44" i="50"/>
  <c r="Z44" i="50"/>
  <c r="U44" i="50"/>
  <c r="AI42" i="50"/>
  <c r="AH42" i="50"/>
  <c r="AG42" i="50"/>
  <c r="AF42" i="50"/>
  <c r="Z42" i="50"/>
  <c r="U42" i="50"/>
  <c r="AI41" i="50"/>
  <c r="AH41" i="50"/>
  <c r="AG41" i="50"/>
  <c r="AI40" i="50"/>
  <c r="AH40" i="50"/>
  <c r="AG40" i="50"/>
  <c r="AF40" i="50"/>
  <c r="AE40" i="50" s="1"/>
  <c r="Z40" i="50"/>
  <c r="U40" i="50"/>
  <c r="AI39" i="50"/>
  <c r="AH39" i="50"/>
  <c r="AG39" i="50"/>
  <c r="AF39" i="50"/>
  <c r="AE39" i="50"/>
  <c r="Z39" i="50"/>
  <c r="U39" i="50"/>
  <c r="AD38" i="50"/>
  <c r="AC36" i="50" s="1"/>
  <c r="AC34" i="50" s="1"/>
  <c r="AC33" i="50" s="1"/>
  <c r="AI37" i="50"/>
  <c r="AH37" i="50"/>
  <c r="AB36" i="50"/>
  <c r="AB34" i="50" s="1"/>
  <c r="AB33" i="50" s="1"/>
  <c r="AI35" i="50"/>
  <c r="AH35" i="50"/>
  <c r="AG35" i="50"/>
  <c r="AF35" i="50"/>
  <c r="AE35" i="50" s="1"/>
  <c r="Z35" i="50"/>
  <c r="U35" i="50"/>
  <c r="AA34" i="50"/>
  <c r="V34" i="50"/>
  <c r="AI23" i="50"/>
  <c r="AH23" i="50"/>
  <c r="AG23" i="50"/>
  <c r="AG20" i="50" s="1"/>
  <c r="AF23" i="50"/>
  <c r="AF61" i="50" s="1"/>
  <c r="Z23" i="50"/>
  <c r="U23" i="50"/>
  <c r="AI22" i="50"/>
  <c r="AH22" i="50"/>
  <c r="AG22" i="50"/>
  <c r="AG60" i="50" s="1"/>
  <c r="AF22" i="50"/>
  <c r="AE22" i="50" s="1"/>
  <c r="Z22" i="50"/>
  <c r="U22" i="50"/>
  <c r="AI21" i="50"/>
  <c r="AH21" i="50"/>
  <c r="AH59" i="50" s="1"/>
  <c r="AG21" i="50"/>
  <c r="AG59" i="50" s="1"/>
  <c r="AF21" i="50"/>
  <c r="AF59" i="50" s="1"/>
  <c r="Z21" i="50"/>
  <c r="Z59" i="50" s="1"/>
  <c r="U21" i="50"/>
  <c r="AH20" i="50"/>
  <c r="AD20" i="50"/>
  <c r="AD58" i="50" s="1"/>
  <c r="AC20" i="50"/>
  <c r="AC58" i="50" s="1"/>
  <c r="AB20" i="50"/>
  <c r="AA20" i="50"/>
  <c r="Y20" i="50"/>
  <c r="Y58" i="50" s="1"/>
  <c r="X20" i="50"/>
  <c r="X58" i="50" s="1"/>
  <c r="W20" i="50"/>
  <c r="W58" i="50" s="1"/>
  <c r="V20" i="50"/>
  <c r="AI19" i="50"/>
  <c r="AH19" i="50"/>
  <c r="AG19" i="50"/>
  <c r="AF19" i="50"/>
  <c r="Z19" i="50"/>
  <c r="U19" i="50"/>
  <c r="AI17" i="50"/>
  <c r="AI57" i="50" s="1"/>
  <c r="AH17" i="50"/>
  <c r="AH57" i="50" s="1"/>
  <c r="AG17" i="50"/>
  <c r="AG57" i="50" s="1"/>
  <c r="AF17" i="50"/>
  <c r="AE17" i="50" s="1"/>
  <c r="Z17" i="50"/>
  <c r="Z57" i="50" s="1"/>
  <c r="U17" i="50"/>
  <c r="U57" i="50" s="1"/>
  <c r="AI16" i="50"/>
  <c r="AH16" i="50"/>
  <c r="AG16" i="50"/>
  <c r="AI15" i="50"/>
  <c r="AH15" i="50"/>
  <c r="AG15" i="50"/>
  <c r="AF15" i="50"/>
  <c r="AE15" i="50"/>
  <c r="Z15" i="50"/>
  <c r="U15" i="50"/>
  <c r="AI14" i="50"/>
  <c r="AH14" i="50"/>
  <c r="AG14" i="50"/>
  <c r="AF14" i="50"/>
  <c r="Z14" i="50"/>
  <c r="U14" i="50"/>
  <c r="AI12" i="50"/>
  <c r="AH12" i="50"/>
  <c r="AB11" i="50"/>
  <c r="AB9" i="50" s="1"/>
  <c r="AB8" i="50" s="1"/>
  <c r="W11" i="50"/>
  <c r="AI10" i="50"/>
  <c r="AH10" i="50"/>
  <c r="AG10" i="50"/>
  <c r="AF10" i="50"/>
  <c r="AE10" i="50" s="1"/>
  <c r="Z10" i="50"/>
  <c r="U10" i="50"/>
  <c r="AA9" i="50"/>
  <c r="W9" i="50"/>
  <c r="W8" i="50" s="1"/>
  <c r="V9" i="50"/>
  <c r="M61" i="50"/>
  <c r="L61" i="50"/>
  <c r="K61" i="50"/>
  <c r="H61" i="50"/>
  <c r="G61" i="50"/>
  <c r="F61" i="50"/>
  <c r="N60" i="50"/>
  <c r="L60" i="50"/>
  <c r="I60" i="50"/>
  <c r="G60" i="50"/>
  <c r="M57" i="50"/>
  <c r="L57" i="50"/>
  <c r="K57" i="50"/>
  <c r="H57" i="50"/>
  <c r="G57" i="50"/>
  <c r="F57" i="50"/>
  <c r="R48" i="50"/>
  <c r="Q48" i="50"/>
  <c r="P48" i="50"/>
  <c r="J48" i="50"/>
  <c r="S47" i="50"/>
  <c r="Q47" i="50"/>
  <c r="M45" i="50"/>
  <c r="H45" i="50"/>
  <c r="F45" i="50"/>
  <c r="S44" i="50"/>
  <c r="R44" i="50"/>
  <c r="Q44" i="50"/>
  <c r="P44" i="50"/>
  <c r="J44" i="50"/>
  <c r="E44" i="50"/>
  <c r="S42" i="50"/>
  <c r="R42" i="50"/>
  <c r="Q42" i="50"/>
  <c r="P42" i="50"/>
  <c r="J42" i="50"/>
  <c r="E42" i="50"/>
  <c r="S41" i="50"/>
  <c r="R41" i="50"/>
  <c r="Q41" i="50"/>
  <c r="S40" i="50"/>
  <c r="R40" i="50"/>
  <c r="Q40" i="50"/>
  <c r="P40" i="50"/>
  <c r="J40" i="50"/>
  <c r="E40" i="50"/>
  <c r="S39" i="50"/>
  <c r="R39" i="50"/>
  <c r="Q39" i="50"/>
  <c r="P39" i="50"/>
  <c r="J39" i="50"/>
  <c r="E39" i="50"/>
  <c r="S37" i="50"/>
  <c r="R37" i="50"/>
  <c r="S35" i="50"/>
  <c r="R35" i="50"/>
  <c r="Q35" i="50"/>
  <c r="P35" i="50"/>
  <c r="J35" i="50"/>
  <c r="E35" i="50"/>
  <c r="K34" i="50"/>
  <c r="F34" i="50"/>
  <c r="R23" i="50"/>
  <c r="Q23" i="50"/>
  <c r="P23" i="50"/>
  <c r="J23" i="50"/>
  <c r="S22" i="50"/>
  <c r="Q22" i="50"/>
  <c r="L20" i="50"/>
  <c r="L11" i="50" s="1"/>
  <c r="L9" i="50" s="1"/>
  <c r="S21" i="50"/>
  <c r="N20" i="50"/>
  <c r="M20" i="50"/>
  <c r="H20" i="50"/>
  <c r="S19" i="50"/>
  <c r="R19" i="50"/>
  <c r="Q19" i="50"/>
  <c r="P19" i="50"/>
  <c r="J19" i="50"/>
  <c r="E19" i="50"/>
  <c r="R17" i="50"/>
  <c r="Q17" i="50"/>
  <c r="P17" i="50"/>
  <c r="N57" i="50"/>
  <c r="I57" i="50"/>
  <c r="E17" i="50"/>
  <c r="S16" i="50"/>
  <c r="R16" i="50"/>
  <c r="Q16" i="50"/>
  <c r="S15" i="50"/>
  <c r="R15" i="50"/>
  <c r="Q15" i="50"/>
  <c r="P15" i="50"/>
  <c r="J15" i="50"/>
  <c r="E15" i="50"/>
  <c r="S14" i="50"/>
  <c r="R14" i="50"/>
  <c r="Q14" i="50"/>
  <c r="P14" i="50"/>
  <c r="J14" i="50"/>
  <c r="E14" i="50"/>
  <c r="S12" i="50"/>
  <c r="R12" i="50"/>
  <c r="S10" i="50"/>
  <c r="R10" i="50"/>
  <c r="Q10" i="50"/>
  <c r="P10" i="50"/>
  <c r="P9" i="50" s="1"/>
  <c r="J10" i="50"/>
  <c r="E10" i="50"/>
  <c r="K9" i="50"/>
  <c r="F9" i="50"/>
  <c r="AB24" i="50" l="1"/>
  <c r="AB18" i="50"/>
  <c r="AE57" i="50"/>
  <c r="AU59" i="50"/>
  <c r="Y49" i="50"/>
  <c r="Y43" i="50"/>
  <c r="AH45" i="50"/>
  <c r="AH36" i="50" s="1"/>
  <c r="AH34" i="50" s="1"/>
  <c r="AH33" i="50" s="1"/>
  <c r="AH60" i="50"/>
  <c r="AH61" i="50"/>
  <c r="AG36" i="50"/>
  <c r="AE44" i="50"/>
  <c r="AN11" i="50"/>
  <c r="AN9" i="50" s="1"/>
  <c r="AN8" i="50" s="1"/>
  <c r="AN58" i="50"/>
  <c r="AX61" i="50"/>
  <c r="AE60" i="50"/>
  <c r="AM58" i="50"/>
  <c r="Z20" i="50"/>
  <c r="Z58" i="50" s="1"/>
  <c r="AA58" i="50"/>
  <c r="AI59" i="50"/>
  <c r="AR11" i="50"/>
  <c r="AR9" i="50" s="1"/>
  <c r="AR8" i="50" s="1"/>
  <c r="AR24" i="50" s="1"/>
  <c r="AU19" i="50"/>
  <c r="AY61" i="50"/>
  <c r="AU40" i="50"/>
  <c r="AP45" i="50"/>
  <c r="AQ41" i="50" s="1"/>
  <c r="AF20" i="50"/>
  <c r="AY45" i="50"/>
  <c r="AY38" i="50" s="1"/>
  <c r="R57" i="50"/>
  <c r="Y13" i="50"/>
  <c r="Y9" i="50" s="1"/>
  <c r="Y8" i="50" s="1"/>
  <c r="AI61" i="50"/>
  <c r="U20" i="50"/>
  <c r="U58" i="50" s="1"/>
  <c r="AB58" i="50"/>
  <c r="U60" i="50"/>
  <c r="U61" i="50"/>
  <c r="AF34" i="50"/>
  <c r="U45" i="50"/>
  <c r="V41" i="50" s="1"/>
  <c r="AE46" i="50"/>
  <c r="AE47" i="50"/>
  <c r="AK61" i="50"/>
  <c r="AK57" i="50"/>
  <c r="AU46" i="50"/>
  <c r="AE19" i="50"/>
  <c r="AV57" i="50"/>
  <c r="AE14" i="50"/>
  <c r="U59" i="50"/>
  <c r="AA16" i="50"/>
  <c r="Z16" i="50" s="1"/>
  <c r="Z8" i="50" s="1"/>
  <c r="AE21" i="50"/>
  <c r="Z60" i="50"/>
  <c r="Z61" i="50"/>
  <c r="AE42" i="50"/>
  <c r="AU14" i="50"/>
  <c r="AO18" i="50"/>
  <c r="AQ58" i="50"/>
  <c r="AP60" i="50"/>
  <c r="AU35" i="50"/>
  <c r="AU47" i="50"/>
  <c r="AY59" i="50"/>
  <c r="AN24" i="50"/>
  <c r="AN18" i="50"/>
  <c r="AR33" i="50"/>
  <c r="AO49" i="50"/>
  <c r="AO43" i="50"/>
  <c r="AY58" i="50"/>
  <c r="AP16" i="50"/>
  <c r="AP8" i="50" s="1"/>
  <c r="AQ8" i="50"/>
  <c r="AS11" i="50"/>
  <c r="AS9" i="50" s="1"/>
  <c r="AS8" i="50" s="1"/>
  <c r="AT9" i="50"/>
  <c r="AT8" i="50" s="1"/>
  <c r="AP58" i="50"/>
  <c r="AU22" i="50"/>
  <c r="AU60" i="50" s="1"/>
  <c r="AV60" i="50"/>
  <c r="AN36" i="50"/>
  <c r="AN34" i="50" s="1"/>
  <c r="AN33" i="50" s="1"/>
  <c r="AL58" i="50"/>
  <c r="AU23" i="50"/>
  <c r="AU61" i="50" s="1"/>
  <c r="AW61" i="50"/>
  <c r="AU57" i="50"/>
  <c r="AY57" i="50"/>
  <c r="AY13" i="50"/>
  <c r="AY9" i="50" s="1"/>
  <c r="AY8" i="50" s="1"/>
  <c r="AR18" i="50"/>
  <c r="AL16" i="50"/>
  <c r="AX20" i="50"/>
  <c r="AX58" i="50" s="1"/>
  <c r="AW60" i="50"/>
  <c r="AP61" i="50"/>
  <c r="AS36" i="50"/>
  <c r="AS34" i="50" s="1"/>
  <c r="AS33" i="50" s="1"/>
  <c r="AT34" i="50"/>
  <c r="AT33" i="50" s="1"/>
  <c r="AM36" i="50"/>
  <c r="AM34" i="50" s="1"/>
  <c r="AK45" i="50"/>
  <c r="AL41" i="50" s="1"/>
  <c r="AT58" i="50"/>
  <c r="AU10" i="50"/>
  <c r="AM11" i="50"/>
  <c r="AM9" i="50" s="1"/>
  <c r="AV20" i="50"/>
  <c r="AV59" i="50"/>
  <c r="AK60" i="50"/>
  <c r="AX60" i="50"/>
  <c r="AW36" i="50"/>
  <c r="AW34" i="50" s="1"/>
  <c r="AW33" i="50" s="1"/>
  <c r="AP57" i="50"/>
  <c r="AW20" i="50"/>
  <c r="AW58" i="50" s="1"/>
  <c r="AC43" i="50"/>
  <c r="AC49" i="50"/>
  <c r="Y24" i="50"/>
  <c r="Y18" i="50"/>
  <c r="AE59" i="50"/>
  <c r="AA41" i="50"/>
  <c r="V33" i="50"/>
  <c r="U41" i="50"/>
  <c r="U33" i="50" s="1"/>
  <c r="W18" i="50"/>
  <c r="W24" i="50"/>
  <c r="X43" i="50"/>
  <c r="X49" i="50"/>
  <c r="V16" i="50"/>
  <c r="AH58" i="50"/>
  <c r="Z24" i="50"/>
  <c r="Z18" i="50"/>
  <c r="AG11" i="50"/>
  <c r="AG9" i="50" s="1"/>
  <c r="AG8" i="50" s="1"/>
  <c r="AG58" i="50"/>
  <c r="AB43" i="50"/>
  <c r="AB49" i="50"/>
  <c r="U34" i="50"/>
  <c r="W33" i="50"/>
  <c r="AI43" i="50"/>
  <c r="AI49" i="50"/>
  <c r="AF57" i="50"/>
  <c r="AA8" i="50"/>
  <c r="AF9" i="50"/>
  <c r="X11" i="50"/>
  <c r="X9" i="50" s="1"/>
  <c r="X8" i="50" s="1"/>
  <c r="AD13" i="50"/>
  <c r="AI20" i="50"/>
  <c r="AI58" i="50" s="1"/>
  <c r="AG34" i="50"/>
  <c r="AG33" i="50" s="1"/>
  <c r="AF45" i="50"/>
  <c r="AE48" i="50"/>
  <c r="V58" i="50"/>
  <c r="AF60" i="50"/>
  <c r="AG61" i="50"/>
  <c r="AE23" i="50"/>
  <c r="AD34" i="50"/>
  <c r="AD33" i="50" s="1"/>
  <c r="H58" i="50"/>
  <c r="Q60" i="50"/>
  <c r="P61" i="50"/>
  <c r="Q57" i="50"/>
  <c r="J22" i="50"/>
  <c r="P57" i="50"/>
  <c r="L45" i="50"/>
  <c r="L36" i="50" s="1"/>
  <c r="L34" i="50" s="1"/>
  <c r="L33" i="50" s="1"/>
  <c r="L43" i="50" s="1"/>
  <c r="S60" i="50"/>
  <c r="Q61" i="50"/>
  <c r="P22" i="50"/>
  <c r="O39" i="50"/>
  <c r="J47" i="50"/>
  <c r="J60" i="50" s="1"/>
  <c r="I61" i="50"/>
  <c r="E23" i="50"/>
  <c r="I20" i="50"/>
  <c r="I13" i="50" s="1"/>
  <c r="O15" i="50"/>
  <c r="I45" i="50"/>
  <c r="I38" i="50" s="1"/>
  <c r="I34" i="50" s="1"/>
  <c r="I33" i="50" s="1"/>
  <c r="I49" i="50" s="1"/>
  <c r="E22" i="50"/>
  <c r="O42" i="50"/>
  <c r="M58" i="50"/>
  <c r="Q46" i="50"/>
  <c r="Q45" i="50" s="1"/>
  <c r="Q36" i="50" s="1"/>
  <c r="Q34" i="50" s="1"/>
  <c r="Q33" i="50" s="1"/>
  <c r="Q49" i="50" s="1"/>
  <c r="P47" i="50"/>
  <c r="P60" i="50" s="1"/>
  <c r="O19" i="50"/>
  <c r="O10" i="50"/>
  <c r="S17" i="50"/>
  <c r="S57" i="50" s="1"/>
  <c r="E21" i="50"/>
  <c r="F20" i="50"/>
  <c r="F58" i="50" s="1"/>
  <c r="O14" i="50"/>
  <c r="N13" i="50"/>
  <c r="M11" i="50" s="1"/>
  <c r="M9" i="50" s="1"/>
  <c r="M8" i="50" s="1"/>
  <c r="S23" i="50"/>
  <c r="S20" i="50" s="1"/>
  <c r="O35" i="50"/>
  <c r="O40" i="50"/>
  <c r="O44" i="50"/>
  <c r="J46" i="50"/>
  <c r="E46" i="50"/>
  <c r="E48" i="50"/>
  <c r="L8" i="50"/>
  <c r="J61" i="50"/>
  <c r="G20" i="50"/>
  <c r="G11" i="50" s="1"/>
  <c r="K20" i="50"/>
  <c r="H59" i="50"/>
  <c r="L59" i="50"/>
  <c r="P21" i="50"/>
  <c r="K60" i="50"/>
  <c r="P34" i="50"/>
  <c r="H36" i="50"/>
  <c r="H34" i="50" s="1"/>
  <c r="H33" i="50" s="1"/>
  <c r="R46" i="50"/>
  <c r="R45" i="50" s="1"/>
  <c r="S48" i="50"/>
  <c r="G59" i="50"/>
  <c r="J17" i="50"/>
  <c r="L58" i="50"/>
  <c r="I59" i="50"/>
  <c r="M59" i="50"/>
  <c r="Q21" i="50"/>
  <c r="F60" i="50"/>
  <c r="M60" i="50"/>
  <c r="R22" i="50"/>
  <c r="O22" i="50" s="1"/>
  <c r="N45" i="50"/>
  <c r="N38" i="50" s="1"/>
  <c r="S46" i="50"/>
  <c r="E47" i="50"/>
  <c r="R47" i="50"/>
  <c r="E57" i="50"/>
  <c r="K59" i="50"/>
  <c r="F59" i="50"/>
  <c r="J21" i="50"/>
  <c r="N59" i="50"/>
  <c r="R21" i="50"/>
  <c r="N61" i="50"/>
  <c r="R61" i="50"/>
  <c r="G45" i="50"/>
  <c r="P46" i="50"/>
  <c r="K45" i="50"/>
  <c r="H60" i="50"/>
  <c r="AY34" i="50" l="1"/>
  <c r="AY33" i="50" s="1"/>
  <c r="AX36" i="50"/>
  <c r="AX34" i="50" s="1"/>
  <c r="AX33" i="50" s="1"/>
  <c r="AX43" i="50" s="1"/>
  <c r="AP41" i="50"/>
  <c r="AP33" i="50" s="1"/>
  <c r="AQ33" i="50"/>
  <c r="AQ43" i="50" s="1"/>
  <c r="AI13" i="50"/>
  <c r="AP34" i="50"/>
  <c r="J45" i="50"/>
  <c r="K41" i="50" s="1"/>
  <c r="J41" i="50" s="1"/>
  <c r="J33" i="50" s="1"/>
  <c r="Z34" i="50"/>
  <c r="AE61" i="50"/>
  <c r="AE45" i="50"/>
  <c r="AF41" i="50" s="1"/>
  <c r="AU45" i="50"/>
  <c r="AV41" i="50" s="1"/>
  <c r="AV33" i="50" s="1"/>
  <c r="AK41" i="50"/>
  <c r="AK33" i="50" s="1"/>
  <c r="AL33" i="50"/>
  <c r="AP18" i="50"/>
  <c r="AP24" i="50"/>
  <c r="AW49" i="50"/>
  <c r="AW43" i="50"/>
  <c r="AN43" i="50"/>
  <c r="AN49" i="50"/>
  <c r="AX49" i="50"/>
  <c r="AM33" i="50"/>
  <c r="AK34" i="50"/>
  <c r="AY18" i="50"/>
  <c r="AY24" i="50"/>
  <c r="AW11" i="50"/>
  <c r="AW9" i="50" s="1"/>
  <c r="AP9" i="50"/>
  <c r="AU34" i="50"/>
  <c r="AS24" i="50"/>
  <c r="AS18" i="50"/>
  <c r="AX11" i="50"/>
  <c r="AX9" i="50" s="1"/>
  <c r="AX8" i="50" s="1"/>
  <c r="AT49" i="50"/>
  <c r="AT43" i="50"/>
  <c r="AQ49" i="50"/>
  <c r="AY43" i="50"/>
  <c r="AY49" i="50"/>
  <c r="AQ18" i="50"/>
  <c r="AQ24" i="50"/>
  <c r="AK9" i="50"/>
  <c r="AM8" i="50"/>
  <c r="AT18" i="50"/>
  <c r="AT24" i="50"/>
  <c r="AK58" i="50"/>
  <c r="AV58" i="50"/>
  <c r="AU20" i="50"/>
  <c r="AS49" i="50"/>
  <c r="AS43" i="50"/>
  <c r="AK16" i="50"/>
  <c r="AK8" i="50" s="1"/>
  <c r="AL8" i="50"/>
  <c r="AR43" i="50"/>
  <c r="AR49" i="50"/>
  <c r="U49" i="50"/>
  <c r="U43" i="50"/>
  <c r="AG49" i="50"/>
  <c r="AG43" i="50"/>
  <c r="X24" i="50"/>
  <c r="X18" i="50"/>
  <c r="AE34" i="50"/>
  <c r="Z41" i="50"/>
  <c r="Z33" i="50" s="1"/>
  <c r="AA33" i="50"/>
  <c r="AF58" i="50"/>
  <c r="AE20" i="50"/>
  <c r="U9" i="50"/>
  <c r="AH49" i="50"/>
  <c r="AH43" i="50"/>
  <c r="V8" i="50"/>
  <c r="U16" i="50"/>
  <c r="U8" i="50" s="1"/>
  <c r="AD49" i="50"/>
  <c r="AD43" i="50"/>
  <c r="AC11" i="50"/>
  <c r="AC9" i="50" s="1"/>
  <c r="AD9" i="50"/>
  <c r="AD8" i="50" s="1"/>
  <c r="AA18" i="50"/>
  <c r="AA24" i="50"/>
  <c r="W43" i="50"/>
  <c r="W49" i="50"/>
  <c r="AG24" i="50"/>
  <c r="AG18" i="50"/>
  <c r="V49" i="50"/>
  <c r="V43" i="50"/>
  <c r="L49" i="50"/>
  <c r="I43" i="50"/>
  <c r="E60" i="50"/>
  <c r="S13" i="50"/>
  <c r="S9" i="50" s="1"/>
  <c r="S8" i="50" s="1"/>
  <c r="S18" i="50" s="1"/>
  <c r="O47" i="50"/>
  <c r="O60" i="50" s="1"/>
  <c r="J59" i="50"/>
  <c r="O17" i="50"/>
  <c r="O57" i="50" s="1"/>
  <c r="Q43" i="50"/>
  <c r="N58" i="50"/>
  <c r="E20" i="50"/>
  <c r="F16" i="50" s="1"/>
  <c r="E59" i="50"/>
  <c r="O23" i="50"/>
  <c r="I58" i="50"/>
  <c r="H11" i="50"/>
  <c r="H9" i="50" s="1"/>
  <c r="H8" i="50" s="1"/>
  <c r="I9" i="50"/>
  <c r="I8" i="50" s="1"/>
  <c r="N9" i="50"/>
  <c r="N8" i="50" s="1"/>
  <c r="N24" i="50" s="1"/>
  <c r="E61" i="50"/>
  <c r="J57" i="50"/>
  <c r="O48" i="50"/>
  <c r="S61" i="50"/>
  <c r="H49" i="50"/>
  <c r="H43" i="50"/>
  <c r="G58" i="50"/>
  <c r="G9" i="50"/>
  <c r="J49" i="50"/>
  <c r="J43" i="50"/>
  <c r="R59" i="50"/>
  <c r="R20" i="50"/>
  <c r="Q59" i="50"/>
  <c r="Q20" i="50"/>
  <c r="O46" i="50"/>
  <c r="P45" i="50"/>
  <c r="G36" i="50"/>
  <c r="G34" i="50" s="1"/>
  <c r="E45" i="50"/>
  <c r="F41" i="50" s="1"/>
  <c r="S45" i="50"/>
  <c r="S59" i="50"/>
  <c r="K33" i="50"/>
  <c r="P59" i="50"/>
  <c r="P20" i="50"/>
  <c r="O21" i="50"/>
  <c r="M36" i="50"/>
  <c r="M34" i="50" s="1"/>
  <c r="N34" i="50"/>
  <c r="N33" i="50" s="1"/>
  <c r="R60" i="50"/>
  <c r="S24" i="50"/>
  <c r="M24" i="50"/>
  <c r="M18" i="50"/>
  <c r="L24" i="50"/>
  <c r="L18" i="50"/>
  <c r="K58" i="50"/>
  <c r="J20" i="50"/>
  <c r="J58" i="50" s="1"/>
  <c r="AU41" i="50" l="1"/>
  <c r="AU33" i="50" s="1"/>
  <c r="AI9" i="50"/>
  <c r="AI8" i="50" s="1"/>
  <c r="AH11" i="50"/>
  <c r="AH9" i="50" s="1"/>
  <c r="AE41" i="50"/>
  <c r="AE33" i="50" s="1"/>
  <c r="AF33" i="50"/>
  <c r="AP49" i="50"/>
  <c r="AP43" i="50"/>
  <c r="O59" i="50"/>
  <c r="AU43" i="50"/>
  <c r="AU49" i="50"/>
  <c r="AM43" i="50"/>
  <c r="AM49" i="50"/>
  <c r="AL18" i="50"/>
  <c r="AL24" i="50"/>
  <c r="AU58" i="50"/>
  <c r="AV16" i="50"/>
  <c r="AK24" i="50"/>
  <c r="AK18" i="50"/>
  <c r="AM18" i="50"/>
  <c r="AM24" i="50"/>
  <c r="AL49" i="50"/>
  <c r="AL43" i="50"/>
  <c r="AW8" i="50"/>
  <c r="AU9" i="50"/>
  <c r="AV43" i="50"/>
  <c r="AV49" i="50"/>
  <c r="AX18" i="50"/>
  <c r="AX24" i="50"/>
  <c r="AK49" i="50"/>
  <c r="AK43" i="50"/>
  <c r="Z49" i="50"/>
  <c r="Z43" i="50"/>
  <c r="AD18" i="50"/>
  <c r="AD24" i="50"/>
  <c r="U24" i="50"/>
  <c r="U18" i="50"/>
  <c r="AC8" i="50"/>
  <c r="Z9" i="50"/>
  <c r="V18" i="50"/>
  <c r="V24" i="50"/>
  <c r="AE58" i="50"/>
  <c r="AF16" i="50"/>
  <c r="AA43" i="50"/>
  <c r="AA49" i="50"/>
  <c r="J9" i="50"/>
  <c r="N18" i="50"/>
  <c r="O61" i="50"/>
  <c r="O45" i="50"/>
  <c r="P41" i="50" s="1"/>
  <c r="O41" i="50" s="1"/>
  <c r="O33" i="50" s="1"/>
  <c r="O49" i="50" s="1"/>
  <c r="I24" i="50"/>
  <c r="I18" i="50"/>
  <c r="H18" i="50"/>
  <c r="H24" i="50"/>
  <c r="S58" i="50"/>
  <c r="S38" i="50"/>
  <c r="E58" i="50"/>
  <c r="K16" i="50"/>
  <c r="N43" i="50"/>
  <c r="N49" i="50"/>
  <c r="P58" i="50"/>
  <c r="O20" i="50"/>
  <c r="K49" i="50"/>
  <c r="K43" i="50"/>
  <c r="F33" i="50"/>
  <c r="E41" i="50"/>
  <c r="E33" i="50" s="1"/>
  <c r="M33" i="50"/>
  <c r="J34" i="50"/>
  <c r="G33" i="50"/>
  <c r="E34" i="50"/>
  <c r="G8" i="50"/>
  <c r="E9" i="50"/>
  <c r="Q58" i="50"/>
  <c r="Q11" i="50"/>
  <c r="Q9" i="50" s="1"/>
  <c r="E16" i="50"/>
  <c r="E8" i="50" s="1"/>
  <c r="F8" i="50"/>
  <c r="R58" i="50"/>
  <c r="R11" i="50"/>
  <c r="R9" i="50" s="1"/>
  <c r="R8" i="50" s="1"/>
  <c r="AE43" i="50" l="1"/>
  <c r="AE49" i="50"/>
  <c r="AF43" i="50"/>
  <c r="AF49" i="50"/>
  <c r="AH8" i="50"/>
  <c r="AE9" i="50"/>
  <c r="AI18" i="50"/>
  <c r="AI24" i="50"/>
  <c r="AW24" i="50"/>
  <c r="AW18" i="50"/>
  <c r="AU16" i="50"/>
  <c r="AU8" i="50" s="1"/>
  <c r="AV8" i="50"/>
  <c r="AC24" i="50"/>
  <c r="AC18" i="50"/>
  <c r="AE16" i="50"/>
  <c r="AE8" i="50" s="1"/>
  <c r="AF8" i="50"/>
  <c r="O43" i="50"/>
  <c r="P33" i="50"/>
  <c r="P43" i="50" s="1"/>
  <c r="F24" i="50"/>
  <c r="F18" i="50"/>
  <c r="M49" i="50"/>
  <c r="M43" i="50"/>
  <c r="O58" i="50"/>
  <c r="P16" i="50"/>
  <c r="K8" i="50"/>
  <c r="J16" i="50"/>
  <c r="J8" i="50" s="1"/>
  <c r="E24" i="50"/>
  <c r="E18" i="50"/>
  <c r="R24" i="50"/>
  <c r="R18" i="50"/>
  <c r="Q8" i="50"/>
  <c r="O9" i="50"/>
  <c r="E49" i="50"/>
  <c r="E43" i="50"/>
  <c r="G24" i="50"/>
  <c r="G18" i="50"/>
  <c r="G43" i="50"/>
  <c r="G49" i="50"/>
  <c r="F49" i="50"/>
  <c r="F43" i="50"/>
  <c r="S34" i="50"/>
  <c r="S33" i="50" s="1"/>
  <c r="R36" i="50"/>
  <c r="R34" i="50" s="1"/>
  <c r="AH24" i="50" l="1"/>
  <c r="AH18" i="50"/>
  <c r="AV24" i="50"/>
  <c r="AV18" i="50"/>
  <c r="AU18" i="50"/>
  <c r="AU24" i="50"/>
  <c r="AF18" i="50"/>
  <c r="AF24" i="50"/>
  <c r="AE18" i="50"/>
  <c r="AE24" i="50"/>
  <c r="P49" i="50"/>
  <c r="Q24" i="50"/>
  <c r="Q18" i="50"/>
  <c r="R33" i="50"/>
  <c r="O34" i="50"/>
  <c r="J24" i="50"/>
  <c r="J18" i="50"/>
  <c r="S49" i="50"/>
  <c r="S43" i="50"/>
  <c r="K24" i="50"/>
  <c r="K18" i="50"/>
  <c r="O16" i="50"/>
  <c r="O8" i="50" s="1"/>
  <c r="P8" i="50"/>
  <c r="O24" i="50" l="1"/>
  <c r="O18" i="50"/>
  <c r="R49" i="50"/>
  <c r="R43" i="50"/>
  <c r="P24" i="50"/>
  <c r="P18" i="50"/>
  <c r="CC4" i="49" l="1"/>
  <c r="CC47" i="49" s="1"/>
  <c r="BZ5" i="49"/>
  <c r="BG5" i="49"/>
  <c r="BJ4" i="49"/>
  <c r="BJ47" i="49" s="1"/>
  <c r="AQ4" i="49"/>
  <c r="AQ47" i="49" s="1"/>
  <c r="CL53" i="49"/>
  <c r="CK53" i="49"/>
  <c r="CJ53" i="49"/>
  <c r="CI53" i="49"/>
  <c r="CG53" i="49"/>
  <c r="CF53" i="49"/>
  <c r="CE53" i="49"/>
  <c r="CD53" i="49"/>
  <c r="BS53" i="49"/>
  <c r="BR53" i="49"/>
  <c r="BQ53" i="49"/>
  <c r="BP53" i="49"/>
  <c r="BN53" i="49"/>
  <c r="BM53" i="49"/>
  <c r="BL53" i="49"/>
  <c r="BK53" i="49"/>
  <c r="CL52" i="49"/>
  <c r="CK52" i="49"/>
  <c r="CJ52" i="49"/>
  <c r="CI52" i="49"/>
  <c r="CG52" i="49"/>
  <c r="CF52" i="49"/>
  <c r="CE52" i="49"/>
  <c r="CD52" i="49"/>
  <c r="BS52" i="49"/>
  <c r="BR52" i="49"/>
  <c r="BQ52" i="49"/>
  <c r="BP52" i="49"/>
  <c r="BN52" i="49"/>
  <c r="BM52" i="49"/>
  <c r="BL52" i="49"/>
  <c r="BK52" i="49"/>
  <c r="CL51" i="49"/>
  <c r="CK51" i="49"/>
  <c r="CJ51" i="49"/>
  <c r="CI51" i="49"/>
  <c r="CG51" i="49"/>
  <c r="CF51" i="49"/>
  <c r="CE51" i="49"/>
  <c r="CD51" i="49"/>
  <c r="BS51" i="49"/>
  <c r="BR51" i="49"/>
  <c r="BQ51" i="49"/>
  <c r="BP51" i="49"/>
  <c r="BN51" i="49"/>
  <c r="BM51" i="49"/>
  <c r="BL51" i="49"/>
  <c r="BK51" i="49"/>
  <c r="CM49" i="49"/>
  <c r="CH49" i="49"/>
  <c r="CC49" i="49"/>
  <c r="BT49" i="49"/>
  <c r="BO49" i="49"/>
  <c r="BJ49" i="49"/>
  <c r="CQ43" i="49"/>
  <c r="CP43" i="49"/>
  <c r="CO43" i="49"/>
  <c r="CN43" i="49"/>
  <c r="CH43" i="49"/>
  <c r="CC43" i="49"/>
  <c r="BX43" i="49"/>
  <c r="BW43" i="49"/>
  <c r="BV43" i="49"/>
  <c r="BU43" i="49"/>
  <c r="BT43" i="49" s="1"/>
  <c r="BO43" i="49"/>
  <c r="BJ43" i="49"/>
  <c r="CQ42" i="49"/>
  <c r="CP42" i="49"/>
  <c r="CO42" i="49"/>
  <c r="CN42" i="49"/>
  <c r="CH42" i="49"/>
  <c r="CC42" i="49"/>
  <c r="BX42" i="49"/>
  <c r="BW42" i="49"/>
  <c r="BV42" i="49"/>
  <c r="BU42" i="49"/>
  <c r="BO42" i="49"/>
  <c r="BJ42" i="49"/>
  <c r="CQ41" i="49"/>
  <c r="CP41" i="49"/>
  <c r="CO41" i="49"/>
  <c r="CN41" i="49"/>
  <c r="CH41" i="49"/>
  <c r="CC41" i="49"/>
  <c r="BX41" i="49"/>
  <c r="BW41" i="49"/>
  <c r="BV41" i="49"/>
  <c r="BU41" i="49"/>
  <c r="BT41" i="49" s="1"/>
  <c r="BO41" i="49"/>
  <c r="BJ41" i="49"/>
  <c r="BN40" i="49"/>
  <c r="CQ39" i="49"/>
  <c r="CP39" i="49"/>
  <c r="CO39" i="49"/>
  <c r="CN39" i="49"/>
  <c r="CH39" i="49"/>
  <c r="CC39" i="49"/>
  <c r="BX39" i="49"/>
  <c r="BW39" i="49"/>
  <c r="BV39" i="49"/>
  <c r="BU39" i="49"/>
  <c r="BT39" i="49" s="1"/>
  <c r="BO39" i="49"/>
  <c r="BJ39" i="49"/>
  <c r="CQ38" i="49"/>
  <c r="CP38" i="49"/>
  <c r="CO38" i="49"/>
  <c r="BX38" i="49"/>
  <c r="BW38" i="49"/>
  <c r="BV38" i="49"/>
  <c r="CQ37" i="49"/>
  <c r="CP37" i="49"/>
  <c r="CO37" i="49"/>
  <c r="CN37" i="49"/>
  <c r="CM37" i="49" s="1"/>
  <c r="CH37" i="49"/>
  <c r="CC37" i="49"/>
  <c r="BX37" i="49"/>
  <c r="BW37" i="49"/>
  <c r="BV37" i="49"/>
  <c r="BU37" i="49"/>
  <c r="BT37" i="49" s="1"/>
  <c r="BO37" i="49"/>
  <c r="BJ37" i="49"/>
  <c r="CQ36" i="49"/>
  <c r="CP36" i="49"/>
  <c r="CO36" i="49"/>
  <c r="CN36" i="49"/>
  <c r="CH36" i="49"/>
  <c r="CI38" i="49" s="1"/>
  <c r="CC36" i="49"/>
  <c r="BX36" i="49"/>
  <c r="BW36" i="49"/>
  <c r="BV36" i="49"/>
  <c r="BU36" i="49"/>
  <c r="BO36" i="49"/>
  <c r="BJ36" i="49"/>
  <c r="CL35" i="49"/>
  <c r="CG35" i="49"/>
  <c r="BS35" i="49"/>
  <c r="BR33" i="49" s="1"/>
  <c r="BR31" i="49" s="1"/>
  <c r="BR30" i="49" s="1"/>
  <c r="BR44" i="49" s="1"/>
  <c r="BN35" i="49"/>
  <c r="CQ34" i="49"/>
  <c r="CP34" i="49"/>
  <c r="BX34" i="49"/>
  <c r="BW34" i="49"/>
  <c r="CO33" i="49"/>
  <c r="CO31" i="49" s="1"/>
  <c r="CO30" i="49" s="1"/>
  <c r="CK33" i="49"/>
  <c r="CJ33" i="49"/>
  <c r="CF33" i="49"/>
  <c r="CE33" i="49"/>
  <c r="CE31" i="49" s="1"/>
  <c r="BQ33" i="49"/>
  <c r="BQ31" i="49" s="1"/>
  <c r="BQ30" i="49" s="1"/>
  <c r="BM33" i="49"/>
  <c r="BL33" i="49"/>
  <c r="CQ32" i="49"/>
  <c r="CP32" i="49"/>
  <c r="CO32" i="49"/>
  <c r="CN32" i="49"/>
  <c r="CN31" i="49" s="1"/>
  <c r="CH32" i="49"/>
  <c r="CC32" i="49"/>
  <c r="BX32" i="49"/>
  <c r="BW32" i="49"/>
  <c r="BV32" i="49"/>
  <c r="BU32" i="49"/>
  <c r="BT32" i="49" s="1"/>
  <c r="BO32" i="49"/>
  <c r="BJ32" i="49"/>
  <c r="CL31" i="49"/>
  <c r="CK31" i="49"/>
  <c r="CJ31" i="49"/>
  <c r="CJ30" i="49" s="1"/>
  <c r="CI31" i="49"/>
  <c r="CG31" i="49"/>
  <c r="CF31" i="49"/>
  <c r="CF30" i="49" s="1"/>
  <c r="CD31" i="49"/>
  <c r="BS31" i="49"/>
  <c r="BS30" i="49" s="1"/>
  <c r="BS44" i="49" s="1"/>
  <c r="BP31" i="49"/>
  <c r="BN31" i="49"/>
  <c r="BM31" i="49"/>
  <c r="BL31" i="49"/>
  <c r="BL30" i="49" s="1"/>
  <c r="BK31" i="49"/>
  <c r="BJ31" i="49" s="1"/>
  <c r="CL30" i="49"/>
  <c r="CL44" i="49" s="1"/>
  <c r="CK30" i="49"/>
  <c r="CK44" i="49" s="1"/>
  <c r="CG30" i="49"/>
  <c r="CG44" i="49" s="1"/>
  <c r="BN30" i="49"/>
  <c r="BN44" i="49" s="1"/>
  <c r="BM30" i="49"/>
  <c r="BM44" i="49" s="1"/>
  <c r="CM28" i="49"/>
  <c r="CH28" i="49"/>
  <c r="CC28" i="49"/>
  <c r="BT28" i="49"/>
  <c r="BO28" i="49"/>
  <c r="BJ28" i="49"/>
  <c r="CQ21" i="49"/>
  <c r="CQ53" i="49" s="1"/>
  <c r="CP21" i="49"/>
  <c r="CP53" i="49" s="1"/>
  <c r="CO21" i="49"/>
  <c r="CN21" i="49"/>
  <c r="CH21" i="49"/>
  <c r="CH53" i="49" s="1"/>
  <c r="CC21" i="49"/>
  <c r="CC53" i="49" s="1"/>
  <c r="BX21" i="49"/>
  <c r="BW21" i="49"/>
  <c r="BW53" i="49" s="1"/>
  <c r="BV21" i="49"/>
  <c r="BU21" i="49"/>
  <c r="BO21" i="49"/>
  <c r="BO53" i="49" s="1"/>
  <c r="BJ21" i="49"/>
  <c r="BJ53" i="49" s="1"/>
  <c r="CQ20" i="49"/>
  <c r="CQ52" i="49" s="1"/>
  <c r="CP20" i="49"/>
  <c r="CO20" i="49"/>
  <c r="CO52" i="49" s="1"/>
  <c r="CN20" i="49"/>
  <c r="CH20" i="49"/>
  <c r="CC20" i="49"/>
  <c r="CC52" i="49" s="1"/>
  <c r="BX20" i="49"/>
  <c r="BW20" i="49"/>
  <c r="BW52" i="49" s="1"/>
  <c r="BV20" i="49"/>
  <c r="BU20" i="49"/>
  <c r="BU52" i="49" s="1"/>
  <c r="BO20" i="49"/>
  <c r="BO52" i="49" s="1"/>
  <c r="BJ20" i="49"/>
  <c r="CQ19" i="49"/>
  <c r="CP19" i="49"/>
  <c r="CO19" i="49"/>
  <c r="CN19" i="49"/>
  <c r="CH19" i="49"/>
  <c r="CC19" i="49"/>
  <c r="BX19" i="49"/>
  <c r="BW19" i="49"/>
  <c r="BV19" i="49"/>
  <c r="BU19" i="49"/>
  <c r="BO19" i="49"/>
  <c r="BJ19" i="49"/>
  <c r="CQ17" i="49"/>
  <c r="CQ51" i="49" s="1"/>
  <c r="CP17" i="49"/>
  <c r="CO17" i="49"/>
  <c r="CO51" i="49" s="1"/>
  <c r="CN17" i="49"/>
  <c r="CH17" i="49"/>
  <c r="CC17" i="49"/>
  <c r="CC51" i="49" s="1"/>
  <c r="BX17" i="49"/>
  <c r="BW17" i="49"/>
  <c r="BW51" i="49" s="1"/>
  <c r="BV17" i="49"/>
  <c r="BV51" i="49" s="1"/>
  <c r="BU17" i="49"/>
  <c r="BO17" i="49"/>
  <c r="BJ17" i="49"/>
  <c r="CQ16" i="49"/>
  <c r="CP16" i="49"/>
  <c r="CO16" i="49"/>
  <c r="BX16" i="49"/>
  <c r="BW16" i="49"/>
  <c r="BV16" i="49"/>
  <c r="CQ15" i="49"/>
  <c r="CP15" i="49"/>
  <c r="CM15" i="49" s="1"/>
  <c r="CO15" i="49"/>
  <c r="CN15" i="49"/>
  <c r="CH15" i="49"/>
  <c r="CC15" i="49"/>
  <c r="BX15" i="49"/>
  <c r="BW15" i="49"/>
  <c r="BV15" i="49"/>
  <c r="BU15" i="49"/>
  <c r="BO15" i="49"/>
  <c r="BJ15" i="49"/>
  <c r="CQ14" i="49"/>
  <c r="CP14" i="49"/>
  <c r="CO14" i="49"/>
  <c r="CN14" i="49"/>
  <c r="CM14" i="49" s="1"/>
  <c r="CH14" i="49"/>
  <c r="CC14" i="49"/>
  <c r="BX14" i="49"/>
  <c r="BW14" i="49"/>
  <c r="BV14" i="49"/>
  <c r="BU14" i="49"/>
  <c r="BT14" i="49"/>
  <c r="BO14" i="49"/>
  <c r="BJ14" i="49"/>
  <c r="CL13" i="49"/>
  <c r="CK11" i="49" s="1"/>
  <c r="CK9" i="49" s="1"/>
  <c r="CK8" i="49" s="1"/>
  <c r="CG13" i="49"/>
  <c r="BS13" i="49"/>
  <c r="BR11" i="49" s="1"/>
  <c r="BR9" i="49" s="1"/>
  <c r="BN13" i="49"/>
  <c r="BM11" i="49" s="1"/>
  <c r="BM9" i="49" s="1"/>
  <c r="BM8" i="49" s="1"/>
  <c r="CQ12" i="49"/>
  <c r="CP12" i="49"/>
  <c r="BX12" i="49"/>
  <c r="BW12" i="49"/>
  <c r="CJ11" i="49"/>
  <c r="CJ9" i="49" s="1"/>
  <c r="CF11" i="49"/>
  <c r="CF9" i="49" s="1"/>
  <c r="CF8" i="49" s="1"/>
  <c r="CE11" i="49"/>
  <c r="BQ11" i="49"/>
  <c r="BL11" i="49"/>
  <c r="BL9" i="49" s="1"/>
  <c r="CQ10" i="49"/>
  <c r="CP10" i="49"/>
  <c r="CO10" i="49"/>
  <c r="CN10" i="49"/>
  <c r="CH10" i="49"/>
  <c r="CC10" i="49"/>
  <c r="BX10" i="49"/>
  <c r="BW10" i="49"/>
  <c r="BT10" i="49" s="1"/>
  <c r="BV10" i="49"/>
  <c r="BU10" i="49"/>
  <c r="BO10" i="49"/>
  <c r="BJ10" i="49"/>
  <c r="CL9" i="49"/>
  <c r="CL8" i="49" s="1"/>
  <c r="CI9" i="49"/>
  <c r="CH9" i="49" s="1"/>
  <c r="CG9" i="49"/>
  <c r="CG8" i="49" s="1"/>
  <c r="CG22" i="49" s="1"/>
  <c r="CE9" i="49"/>
  <c r="CD9" i="49"/>
  <c r="BU9" i="49"/>
  <c r="BS9" i="49"/>
  <c r="BQ9" i="49"/>
  <c r="BP9" i="49"/>
  <c r="BK9" i="49"/>
  <c r="CJ8" i="49"/>
  <c r="CJ22" i="49" s="1"/>
  <c r="CE8" i="49"/>
  <c r="CE22" i="49" s="1"/>
  <c r="BS8" i="49"/>
  <c r="BS22" i="49" s="1"/>
  <c r="BQ8" i="49"/>
  <c r="BQ22" i="49" s="1"/>
  <c r="BL8" i="49"/>
  <c r="BL22" i="49" s="1"/>
  <c r="AN5" i="49"/>
  <c r="U5" i="49"/>
  <c r="AZ53" i="49"/>
  <c r="AY53" i="49"/>
  <c r="AX53" i="49"/>
  <c r="AW53" i="49"/>
  <c r="AU53" i="49"/>
  <c r="AT53" i="49"/>
  <c r="AS53" i="49"/>
  <c r="AR53" i="49"/>
  <c r="AZ52" i="49"/>
  <c r="AY52" i="49"/>
  <c r="AX52" i="49"/>
  <c r="AW52" i="49"/>
  <c r="AU52" i="49"/>
  <c r="AT52" i="49"/>
  <c r="AS52" i="49"/>
  <c r="AR52" i="49"/>
  <c r="AZ51" i="49"/>
  <c r="AY51" i="49"/>
  <c r="AX51" i="49"/>
  <c r="AW51" i="49"/>
  <c r="AU51" i="49"/>
  <c r="AT51" i="49"/>
  <c r="AS51" i="49"/>
  <c r="AR51" i="49"/>
  <c r="BA49" i="49"/>
  <c r="AV49" i="49"/>
  <c r="AQ49" i="49"/>
  <c r="BE43" i="49"/>
  <c r="BD43" i="49"/>
  <c r="BC43" i="49"/>
  <c r="BB43" i="49"/>
  <c r="AV43" i="49"/>
  <c r="AQ43" i="49"/>
  <c r="BE42" i="49"/>
  <c r="BE52" i="49" s="1"/>
  <c r="BD42" i="49"/>
  <c r="BC42" i="49"/>
  <c r="BB42" i="49"/>
  <c r="AV42" i="49"/>
  <c r="AQ42" i="49"/>
  <c r="BE41" i="49"/>
  <c r="BD41" i="49"/>
  <c r="BC41" i="49"/>
  <c r="BB41" i="49"/>
  <c r="AV41" i="49"/>
  <c r="AQ41" i="49"/>
  <c r="BE39" i="49"/>
  <c r="BD39" i="49"/>
  <c r="BC39" i="49"/>
  <c r="BB39" i="49"/>
  <c r="AV39" i="49"/>
  <c r="AQ39" i="49"/>
  <c r="BE38" i="49"/>
  <c r="BD38" i="49"/>
  <c r="BC38" i="49"/>
  <c r="BE37" i="49"/>
  <c r="BD37" i="49"/>
  <c r="BC37" i="49"/>
  <c r="BB37" i="49"/>
  <c r="BA37" i="49" s="1"/>
  <c r="AV37" i="49"/>
  <c r="AQ37" i="49"/>
  <c r="BE36" i="49"/>
  <c r="BD36" i="49"/>
  <c r="BC36" i="49"/>
  <c r="BB36" i="49"/>
  <c r="BA36" i="49" s="1"/>
  <c r="AV36" i="49"/>
  <c r="AQ36" i="49"/>
  <c r="AZ35" i="49"/>
  <c r="AY33" i="49" s="1"/>
  <c r="AY31" i="49" s="1"/>
  <c r="AY30" i="49" s="1"/>
  <c r="AU35" i="49"/>
  <c r="AU31" i="49" s="1"/>
  <c r="AU30" i="49" s="1"/>
  <c r="BE34" i="49"/>
  <c r="BD34" i="49"/>
  <c r="AX33" i="49"/>
  <c r="AS33" i="49"/>
  <c r="AS31" i="49" s="1"/>
  <c r="BE32" i="49"/>
  <c r="BD32" i="49"/>
  <c r="BC32" i="49"/>
  <c r="BB32" i="49"/>
  <c r="AV32" i="49"/>
  <c r="AQ32" i="49"/>
  <c r="BB31" i="49"/>
  <c r="AX31" i="49"/>
  <c r="AX30" i="49" s="1"/>
  <c r="AW31" i="49"/>
  <c r="AR31" i="49"/>
  <c r="BA28" i="49"/>
  <c r="AV28" i="49"/>
  <c r="AQ28" i="49"/>
  <c r="BE21" i="49"/>
  <c r="BD21" i="49"/>
  <c r="BD53" i="49" s="1"/>
  <c r="BC21" i="49"/>
  <c r="BC53" i="49" s="1"/>
  <c r="BB21" i="49"/>
  <c r="BA21" i="49" s="1"/>
  <c r="AV21" i="49"/>
  <c r="AV53" i="49" s="1"/>
  <c r="AQ21" i="49"/>
  <c r="AQ53" i="49" s="1"/>
  <c r="BE20" i="49"/>
  <c r="BD20" i="49"/>
  <c r="BD52" i="49" s="1"/>
  <c r="BC20" i="49"/>
  <c r="BC52" i="49" s="1"/>
  <c r="BB20" i="49"/>
  <c r="BA20" i="49" s="1"/>
  <c r="AV20" i="49"/>
  <c r="AV52" i="49" s="1"/>
  <c r="AQ20" i="49"/>
  <c r="AQ52" i="49" s="1"/>
  <c r="BE19" i="49"/>
  <c r="BD19" i="49"/>
  <c r="BC19" i="49"/>
  <c r="BB19" i="49"/>
  <c r="BA19" i="49" s="1"/>
  <c r="AV19" i="49"/>
  <c r="AQ19" i="49"/>
  <c r="BE17" i="49"/>
  <c r="BE13" i="49" s="1"/>
  <c r="BD11" i="49" s="1"/>
  <c r="BD17" i="49"/>
  <c r="BD51" i="49" s="1"/>
  <c r="BC17" i="49"/>
  <c r="BC51" i="49" s="1"/>
  <c r="BB17" i="49"/>
  <c r="BB51" i="49" s="1"/>
  <c r="AV17" i="49"/>
  <c r="AV51" i="49" s="1"/>
  <c r="AQ17" i="49"/>
  <c r="AQ51" i="49" s="1"/>
  <c r="BE16" i="49"/>
  <c r="BD16" i="49"/>
  <c r="BC16" i="49"/>
  <c r="BE15" i="49"/>
  <c r="BD15" i="49"/>
  <c r="BC15" i="49"/>
  <c r="BB15" i="49"/>
  <c r="BA15" i="49" s="1"/>
  <c r="AV15" i="49"/>
  <c r="AQ15" i="49"/>
  <c r="AR16" i="49" s="1"/>
  <c r="BE14" i="49"/>
  <c r="BD14" i="49"/>
  <c r="BC14" i="49"/>
  <c r="BB14" i="49"/>
  <c r="BA14" i="49" s="1"/>
  <c r="AV14" i="49"/>
  <c r="AQ14" i="49"/>
  <c r="AZ13" i="49"/>
  <c r="AY11" i="49" s="1"/>
  <c r="AY9" i="49" s="1"/>
  <c r="AY8" i="49" s="1"/>
  <c r="AU13" i="49"/>
  <c r="BE12" i="49"/>
  <c r="BD12" i="49"/>
  <c r="AX11" i="49"/>
  <c r="AX9" i="49" s="1"/>
  <c r="AX8" i="49" s="1"/>
  <c r="AT11" i="49"/>
  <c r="AS11" i="49"/>
  <c r="AS9" i="49" s="1"/>
  <c r="AS8" i="49" s="1"/>
  <c r="AS22" i="49" s="1"/>
  <c r="BE10" i="49"/>
  <c r="BD10" i="49"/>
  <c r="BC10" i="49"/>
  <c r="BB10" i="49"/>
  <c r="BA10" i="49" s="1"/>
  <c r="AV10" i="49"/>
  <c r="AQ10" i="49"/>
  <c r="AW9" i="49"/>
  <c r="AU9" i="49"/>
  <c r="AT9" i="49"/>
  <c r="AT8" i="49" s="1"/>
  <c r="AT22" i="49" s="1"/>
  <c r="AR9" i="49"/>
  <c r="X4" i="49"/>
  <c r="X47" i="49" s="1"/>
  <c r="B5" i="49"/>
  <c r="AG53" i="49"/>
  <c r="AF53" i="49"/>
  <c r="AE53" i="49"/>
  <c r="AD53" i="49"/>
  <c r="AB53" i="49"/>
  <c r="AA53" i="49"/>
  <c r="Z53" i="49"/>
  <c r="Y53" i="49"/>
  <c r="AG52" i="49"/>
  <c r="AF52" i="49"/>
  <c r="AE52" i="49"/>
  <c r="AD52" i="49"/>
  <c r="AB52" i="49"/>
  <c r="AA52" i="49"/>
  <c r="Z52" i="49"/>
  <c r="Y52" i="49"/>
  <c r="AG51" i="49"/>
  <c r="AF51" i="49"/>
  <c r="AE51" i="49"/>
  <c r="AD51" i="49"/>
  <c r="AB51" i="49"/>
  <c r="AA51" i="49"/>
  <c r="Z51" i="49"/>
  <c r="Y51" i="49"/>
  <c r="AH49" i="49"/>
  <c r="AC49" i="49"/>
  <c r="X49" i="49"/>
  <c r="AL43" i="49"/>
  <c r="AK43" i="49"/>
  <c r="AJ43" i="49"/>
  <c r="AI43" i="49"/>
  <c r="AH43" i="49" s="1"/>
  <c r="AC43" i="49"/>
  <c r="X43" i="49"/>
  <c r="AL42" i="49"/>
  <c r="AK42" i="49"/>
  <c r="AJ42" i="49"/>
  <c r="AI42" i="49"/>
  <c r="AH42" i="49" s="1"/>
  <c r="AC42" i="49"/>
  <c r="X42" i="49"/>
  <c r="AL41" i="49"/>
  <c r="AK41" i="49"/>
  <c r="AJ41" i="49"/>
  <c r="AI41" i="49"/>
  <c r="AC41" i="49"/>
  <c r="AD38" i="49" s="1"/>
  <c r="X41" i="49"/>
  <c r="AL39" i="49"/>
  <c r="AK39" i="49"/>
  <c r="AJ39" i="49"/>
  <c r="AI39" i="49"/>
  <c r="AH39" i="49" s="1"/>
  <c r="AC39" i="49"/>
  <c r="X39" i="49"/>
  <c r="AL38" i="49"/>
  <c r="AK38" i="49"/>
  <c r="AJ38" i="49"/>
  <c r="AL37" i="49"/>
  <c r="AK37" i="49"/>
  <c r="AJ37" i="49"/>
  <c r="AI37" i="49"/>
  <c r="AC37" i="49"/>
  <c r="X37" i="49"/>
  <c r="AL36" i="49"/>
  <c r="AH36" i="49" s="1"/>
  <c r="AK36" i="49"/>
  <c r="AJ36" i="49"/>
  <c r="AI36" i="49"/>
  <c r="AC36" i="49"/>
  <c r="X36" i="49"/>
  <c r="Y38" i="49" s="1"/>
  <c r="AG35" i="49"/>
  <c r="AF33" i="49" s="1"/>
  <c r="AF31" i="49" s="1"/>
  <c r="AF30" i="49" s="1"/>
  <c r="AB35" i="49"/>
  <c r="AL34" i="49"/>
  <c r="AK34" i="49"/>
  <c r="AE33" i="49"/>
  <c r="AE31" i="49" s="1"/>
  <c r="AE30" i="49" s="1"/>
  <c r="AA33" i="49"/>
  <c r="AA31" i="49" s="1"/>
  <c r="AA30" i="49" s="1"/>
  <c r="Z33" i="49"/>
  <c r="AL32" i="49"/>
  <c r="AK32" i="49"/>
  <c r="AJ32" i="49"/>
  <c r="AJ33" i="49" s="1"/>
  <c r="AI32" i="49"/>
  <c r="AH32" i="49" s="1"/>
  <c r="AC32" i="49"/>
  <c r="X32" i="49"/>
  <c r="AD31" i="49"/>
  <c r="AB31" i="49"/>
  <c r="AB30" i="49" s="1"/>
  <c r="Z31" i="49"/>
  <c r="Y31" i="49"/>
  <c r="Z30" i="49"/>
  <c r="Z44" i="49" s="1"/>
  <c r="AH28" i="49"/>
  <c r="AC28" i="49"/>
  <c r="X28" i="49"/>
  <c r="AL21" i="49"/>
  <c r="AL53" i="49" s="1"/>
  <c r="AK21" i="49"/>
  <c r="AK53" i="49" s="1"/>
  <c r="AJ21" i="49"/>
  <c r="AJ53" i="49" s="1"/>
  <c r="AI21" i="49"/>
  <c r="AH21" i="49" s="1"/>
  <c r="AH53" i="49" s="1"/>
  <c r="AC21" i="49"/>
  <c r="AC53" i="49" s="1"/>
  <c r="X21" i="49"/>
  <c r="AL20" i="49"/>
  <c r="AK20" i="49"/>
  <c r="AK52" i="49" s="1"/>
  <c r="AJ20" i="49"/>
  <c r="AJ52" i="49" s="1"/>
  <c r="AI20" i="49"/>
  <c r="AH20" i="49" s="1"/>
  <c r="AC20" i="49"/>
  <c r="X20" i="49"/>
  <c r="X52" i="49" s="1"/>
  <c r="AL19" i="49"/>
  <c r="AK19" i="49"/>
  <c r="AJ19" i="49"/>
  <c r="AI19" i="49"/>
  <c r="AC19" i="49"/>
  <c r="X19" i="49"/>
  <c r="AL17" i="49"/>
  <c r="AL51" i="49" s="1"/>
  <c r="AK17" i="49"/>
  <c r="AK51" i="49" s="1"/>
  <c r="AJ17" i="49"/>
  <c r="AJ51" i="49" s="1"/>
  <c r="AI17" i="49"/>
  <c r="AC17" i="49"/>
  <c r="AC51" i="49" s="1"/>
  <c r="X17" i="49"/>
  <c r="X51" i="49" s="1"/>
  <c r="AL16" i="49"/>
  <c r="AK16" i="49"/>
  <c r="AJ16" i="49"/>
  <c r="AL15" i="49"/>
  <c r="AK15" i="49"/>
  <c r="AJ15" i="49"/>
  <c r="AI15" i="49"/>
  <c r="AH15" i="49" s="1"/>
  <c r="AC15" i="49"/>
  <c r="X15" i="49"/>
  <c r="AL14" i="49"/>
  <c r="AK14" i="49"/>
  <c r="AJ14" i="49"/>
  <c r="AI14" i="49"/>
  <c r="AH14" i="49" s="1"/>
  <c r="AC14" i="49"/>
  <c r="X14" i="49"/>
  <c r="AG13" i="49"/>
  <c r="AF11" i="49" s="1"/>
  <c r="AF9" i="49" s="1"/>
  <c r="AF8" i="49" s="1"/>
  <c r="AB13" i="49"/>
  <c r="AL12" i="49"/>
  <c r="AK12" i="49"/>
  <c r="AE11" i="49"/>
  <c r="AE9" i="49" s="1"/>
  <c r="AE8" i="49" s="1"/>
  <c r="AA11" i="49"/>
  <c r="Z11" i="49"/>
  <c r="AL10" i="49"/>
  <c r="AK10" i="49"/>
  <c r="AJ10" i="49"/>
  <c r="AI10" i="49"/>
  <c r="AH10" i="49" s="1"/>
  <c r="AC10" i="49"/>
  <c r="X10" i="49"/>
  <c r="AG9" i="49"/>
  <c r="AG8" i="49" s="1"/>
  <c r="AD9" i="49"/>
  <c r="AB9" i="49"/>
  <c r="AB8" i="49" s="1"/>
  <c r="AA9" i="49"/>
  <c r="Z9" i="49"/>
  <c r="Y9" i="49"/>
  <c r="AA8" i="49"/>
  <c r="AA22" i="49" s="1"/>
  <c r="Z8" i="49"/>
  <c r="Z22" i="49" s="1"/>
  <c r="E4" i="49"/>
  <c r="E47" i="49" s="1"/>
  <c r="L53" i="49"/>
  <c r="K53" i="49"/>
  <c r="G53" i="49"/>
  <c r="F53" i="49"/>
  <c r="O49" i="49"/>
  <c r="J49" i="49"/>
  <c r="E49" i="49"/>
  <c r="S43" i="49"/>
  <c r="R43" i="49"/>
  <c r="Q43" i="49"/>
  <c r="P43" i="49"/>
  <c r="J43" i="49"/>
  <c r="E43" i="49"/>
  <c r="S42" i="49"/>
  <c r="R42" i="49"/>
  <c r="Q42" i="49"/>
  <c r="P42" i="49"/>
  <c r="J42" i="49"/>
  <c r="E42" i="49"/>
  <c r="S41" i="49"/>
  <c r="R41" i="49"/>
  <c r="Q41" i="49"/>
  <c r="P41" i="49"/>
  <c r="J41" i="49"/>
  <c r="E41" i="49"/>
  <c r="S39" i="49"/>
  <c r="R39" i="49"/>
  <c r="Q39" i="49"/>
  <c r="P39" i="49"/>
  <c r="J39" i="49"/>
  <c r="E39" i="49"/>
  <c r="S38" i="49"/>
  <c r="R38" i="49"/>
  <c r="Q38" i="49"/>
  <c r="S37" i="49"/>
  <c r="R37" i="49"/>
  <c r="Q37" i="49"/>
  <c r="P37" i="49"/>
  <c r="J37" i="49"/>
  <c r="E37" i="49"/>
  <c r="S36" i="49"/>
  <c r="R36" i="49"/>
  <c r="Q36" i="49"/>
  <c r="P36" i="49"/>
  <c r="J36" i="49"/>
  <c r="E36" i="49"/>
  <c r="N35" i="49"/>
  <c r="M33" i="49" s="1"/>
  <c r="M31" i="49" s="1"/>
  <c r="M30" i="49" s="1"/>
  <c r="M44" i="49" s="1"/>
  <c r="I35" i="49"/>
  <c r="S34" i="49"/>
  <c r="R34" i="49"/>
  <c r="L33" i="49"/>
  <c r="L31" i="49" s="1"/>
  <c r="L30" i="49" s="1"/>
  <c r="G33" i="49"/>
  <c r="G31" i="49" s="1"/>
  <c r="G30" i="49" s="1"/>
  <c r="S32" i="49"/>
  <c r="R32" i="49"/>
  <c r="Q32" i="49"/>
  <c r="P32" i="49"/>
  <c r="P31" i="49" s="1"/>
  <c r="J32" i="49"/>
  <c r="E32" i="49"/>
  <c r="N31" i="49"/>
  <c r="N30" i="49" s="1"/>
  <c r="K31" i="49"/>
  <c r="F31" i="49"/>
  <c r="O28" i="49"/>
  <c r="J28" i="49"/>
  <c r="Q21" i="49"/>
  <c r="P21" i="49"/>
  <c r="M53" i="49"/>
  <c r="J21" i="49"/>
  <c r="I53" i="49"/>
  <c r="M52" i="49"/>
  <c r="L52" i="49"/>
  <c r="K52" i="49"/>
  <c r="H52" i="49"/>
  <c r="G52" i="49"/>
  <c r="F52" i="49"/>
  <c r="R19" i="49"/>
  <c r="Q19" i="49"/>
  <c r="M51" i="49"/>
  <c r="L51" i="49"/>
  <c r="K51" i="49"/>
  <c r="G51" i="49"/>
  <c r="Q15" i="49"/>
  <c r="J14" i="49"/>
  <c r="S14" i="49"/>
  <c r="Q14" i="49"/>
  <c r="P14" i="49"/>
  <c r="S12" i="49"/>
  <c r="S10" i="49"/>
  <c r="R10" i="49"/>
  <c r="Q10" i="49"/>
  <c r="P10" i="49"/>
  <c r="P9" i="49" s="1"/>
  <c r="J10" i="49"/>
  <c r="E10" i="49"/>
  <c r="K9" i="49"/>
  <c r="F9" i="49"/>
  <c r="BJ26" i="49" l="1"/>
  <c r="E26" i="49"/>
  <c r="AS30" i="49"/>
  <c r="AS44" i="49" s="1"/>
  <c r="AG22" i="49"/>
  <c r="AG18" i="49"/>
  <c r="AB40" i="49"/>
  <c r="AB44" i="49"/>
  <c r="CF22" i="49"/>
  <c r="CF18" i="49"/>
  <c r="AH52" i="49"/>
  <c r="AL13" i="49"/>
  <c r="AK11" i="49" s="1"/>
  <c r="AI51" i="49"/>
  <c r="AC52" i="49"/>
  <c r="X31" i="49"/>
  <c r="AL35" i="49"/>
  <c r="BC33" i="49"/>
  <c r="BC31" i="49" s="1"/>
  <c r="CO11" i="49"/>
  <c r="CO9" i="49" s="1"/>
  <c r="CO8" i="49" s="1"/>
  <c r="CO22" i="49" s="1"/>
  <c r="BP16" i="49"/>
  <c r="BV53" i="49"/>
  <c r="CO53" i="49"/>
  <c r="BT36" i="49"/>
  <c r="BX51" i="49"/>
  <c r="AH41" i="49"/>
  <c r="AQ9" i="49"/>
  <c r="AR38" i="49"/>
  <c r="BO51" i="49"/>
  <c r="BU31" i="49"/>
  <c r="X9" i="49"/>
  <c r="AK9" i="49"/>
  <c r="AK8" i="49" s="1"/>
  <c r="AK22" i="49" s="1"/>
  <c r="BD9" i="49"/>
  <c r="BD8" i="49" s="1"/>
  <c r="BD18" i="49" s="1"/>
  <c r="BE51" i="49"/>
  <c r="AW38" i="49"/>
  <c r="BV11" i="49"/>
  <c r="BV9" i="49" s="1"/>
  <c r="BV8" i="49" s="1"/>
  <c r="CD16" i="49"/>
  <c r="CC16" i="49" s="1"/>
  <c r="CC8" i="49" s="1"/>
  <c r="CC18" i="49" s="1"/>
  <c r="BT17" i="49"/>
  <c r="BT51" i="49" s="1"/>
  <c r="BX53" i="49"/>
  <c r="AI9" i="49"/>
  <c r="AH19" i="49"/>
  <c r="AH37" i="49"/>
  <c r="BB9" i="49"/>
  <c r="BA9" i="49" s="1"/>
  <c r="BE53" i="49"/>
  <c r="AT33" i="49"/>
  <c r="AT31" i="49" s="1"/>
  <c r="AT30" i="49" s="1"/>
  <c r="BA39" i="49"/>
  <c r="BA41" i="49"/>
  <c r="BA43" i="49"/>
  <c r="BA53" i="49" s="1"/>
  <c r="BT20" i="49"/>
  <c r="CD38" i="49"/>
  <c r="CH52" i="49"/>
  <c r="BE35" i="49"/>
  <c r="AD16" i="49"/>
  <c r="X53" i="49"/>
  <c r="AI31" i="49"/>
  <c r="AW16" i="49"/>
  <c r="AW8" i="49" s="1"/>
  <c r="BA32" i="49"/>
  <c r="CM19" i="49"/>
  <c r="BT21" i="49"/>
  <c r="BT53" i="49" s="1"/>
  <c r="CQ35" i="49"/>
  <c r="CQ31" i="49" s="1"/>
  <c r="CQ30" i="49" s="1"/>
  <c r="CQ40" i="49" s="1"/>
  <c r="BP38" i="49"/>
  <c r="BO38" i="49" s="1"/>
  <c r="BO30" i="49" s="1"/>
  <c r="CM41" i="49"/>
  <c r="BT42" i="49"/>
  <c r="BV22" i="49"/>
  <c r="BV18" i="49"/>
  <c r="BR8" i="49"/>
  <c r="BO9" i="49"/>
  <c r="BQ44" i="49"/>
  <c r="BQ40" i="49"/>
  <c r="BJ52" i="49"/>
  <c r="BK38" i="49"/>
  <c r="BN9" i="49"/>
  <c r="BN8" i="49" s="1"/>
  <c r="CM10" i="49"/>
  <c r="CN9" i="49"/>
  <c r="CH51" i="49"/>
  <c r="CI16" i="49"/>
  <c r="BL44" i="49"/>
  <c r="BL40" i="49"/>
  <c r="CH31" i="49"/>
  <c r="BX35" i="49"/>
  <c r="CM36" i="49"/>
  <c r="BR40" i="49"/>
  <c r="CL40" i="49"/>
  <c r="CM43" i="49"/>
  <c r="CN53" i="49"/>
  <c r="CC9" i="49"/>
  <c r="CD8" i="49"/>
  <c r="CP31" i="49"/>
  <c r="CP30" i="49" s="1"/>
  <c r="CL22" i="49"/>
  <c r="CL18" i="49"/>
  <c r="BK16" i="49"/>
  <c r="BJ51" i="49"/>
  <c r="BL18" i="49"/>
  <c r="CJ44" i="49"/>
  <c r="CJ40" i="49"/>
  <c r="CM32" i="49"/>
  <c r="CC31" i="49"/>
  <c r="CE30" i="49"/>
  <c r="CO44" i="49"/>
  <c r="CO40" i="49"/>
  <c r="CH38" i="49"/>
  <c r="CH30" i="49" s="1"/>
  <c r="CN38" i="49"/>
  <c r="CM38" i="49" s="1"/>
  <c r="CI30" i="49"/>
  <c r="CP52" i="49"/>
  <c r="CM42" i="49"/>
  <c r="CP33" i="49"/>
  <c r="BM22" i="49"/>
  <c r="BM18" i="49"/>
  <c r="CP51" i="49"/>
  <c r="CM17" i="49"/>
  <c r="BO31" i="49"/>
  <c r="BP30" i="49"/>
  <c r="CM20" i="49"/>
  <c r="CM52" i="49" s="1"/>
  <c r="CN52" i="49"/>
  <c r="CK22" i="49"/>
  <c r="CK18" i="49"/>
  <c r="BT15" i="49"/>
  <c r="BU16" i="49" s="1"/>
  <c r="CJ18" i="49"/>
  <c r="BT19" i="49"/>
  <c r="BT52" i="49"/>
  <c r="BX52" i="49"/>
  <c r="BX13" i="49"/>
  <c r="BW11" i="49" s="1"/>
  <c r="BW9" i="49" s="1"/>
  <c r="BW8" i="49" s="1"/>
  <c r="CF44" i="49"/>
  <c r="CF40" i="49"/>
  <c r="CM39" i="49"/>
  <c r="CN51" i="49"/>
  <c r="BV33" i="49"/>
  <c r="BV31" i="49" s="1"/>
  <c r="BV52" i="49"/>
  <c r="CQ13" i="49"/>
  <c r="CP11" i="49" s="1"/>
  <c r="CP9" i="49" s="1"/>
  <c r="CP8" i="49" s="1"/>
  <c r="BQ18" i="49"/>
  <c r="CG18" i="49"/>
  <c r="CM21" i="49"/>
  <c r="CM53" i="49" s="1"/>
  <c r="CC26" i="49"/>
  <c r="BS40" i="49"/>
  <c r="BU51" i="49"/>
  <c r="BU53" i="49"/>
  <c r="BS18" i="49"/>
  <c r="CE18" i="49"/>
  <c r="BM40" i="49"/>
  <c r="CG40" i="49"/>
  <c r="CK40" i="49"/>
  <c r="AX44" i="49"/>
  <c r="AX40" i="49"/>
  <c r="BE31" i="49"/>
  <c r="BE30" i="49" s="1"/>
  <c r="BD33" i="49"/>
  <c r="AU44" i="49"/>
  <c r="AU40" i="49"/>
  <c r="AR30" i="49"/>
  <c r="AQ38" i="49"/>
  <c r="AX22" i="49"/>
  <c r="AX18" i="49"/>
  <c r="AY40" i="49"/>
  <c r="AY44" i="49"/>
  <c r="AV38" i="49"/>
  <c r="AV30" i="49" s="1"/>
  <c r="BB38" i="49"/>
  <c r="BA38" i="49" s="1"/>
  <c r="BA30" i="49" s="1"/>
  <c r="AW30" i="49"/>
  <c r="AY22" i="49"/>
  <c r="AY18" i="49"/>
  <c r="AQ16" i="49"/>
  <c r="AQ8" i="49" s="1"/>
  <c r="AR8" i="49"/>
  <c r="AT44" i="49"/>
  <c r="AT40" i="49"/>
  <c r="AQ30" i="49"/>
  <c r="BD31" i="49"/>
  <c r="BD30" i="49" s="1"/>
  <c r="BA42" i="49"/>
  <c r="BA52" i="49" s="1"/>
  <c r="AU8" i="49"/>
  <c r="AZ9" i="49"/>
  <c r="AZ8" i="49" s="1"/>
  <c r="AS18" i="49"/>
  <c r="BB30" i="49"/>
  <c r="BB52" i="49"/>
  <c r="BB53" i="49"/>
  <c r="BE9" i="49"/>
  <c r="BE8" i="49" s="1"/>
  <c r="BC11" i="49"/>
  <c r="BC9" i="49" s="1"/>
  <c r="BC8" i="49" s="1"/>
  <c r="BA17" i="49"/>
  <c r="AT18" i="49"/>
  <c r="AQ26" i="49"/>
  <c r="AZ31" i="49"/>
  <c r="AZ30" i="49" s="1"/>
  <c r="AS40" i="49"/>
  <c r="AB22" i="49"/>
  <c r="AB18" i="49"/>
  <c r="AE22" i="49"/>
  <c r="AE18" i="49"/>
  <c r="AC38" i="49"/>
  <c r="AC30" i="49" s="1"/>
  <c r="AD30" i="49"/>
  <c r="AI38" i="49"/>
  <c r="AH38" i="49" s="1"/>
  <c r="AC9" i="49"/>
  <c r="AE44" i="49"/>
  <c r="AE40" i="49"/>
  <c r="AH30" i="49"/>
  <c r="AF22" i="49"/>
  <c r="AF18" i="49"/>
  <c r="Y30" i="49"/>
  <c r="X38" i="49"/>
  <c r="AD8" i="49"/>
  <c r="AC16" i="49"/>
  <c r="AC8" i="49" s="1"/>
  <c r="AA44" i="49"/>
  <c r="AA40" i="49"/>
  <c r="X30" i="49"/>
  <c r="AF40" i="49"/>
  <c r="AF44" i="49"/>
  <c r="AL31" i="49"/>
  <c r="AL30" i="49" s="1"/>
  <c r="AK33" i="49"/>
  <c r="AK31" i="49" s="1"/>
  <c r="AL52" i="49"/>
  <c r="AI53" i="49"/>
  <c r="Z18" i="49"/>
  <c r="AI30" i="49"/>
  <c r="AJ31" i="49"/>
  <c r="AJ30" i="49" s="1"/>
  <c r="AI52" i="49"/>
  <c r="Y16" i="49"/>
  <c r="AL9" i="49"/>
  <c r="AL8" i="49" s="1"/>
  <c r="AJ11" i="49"/>
  <c r="AJ9" i="49" s="1"/>
  <c r="AJ8" i="49" s="1"/>
  <c r="AH17" i="49"/>
  <c r="AA18" i="49"/>
  <c r="X26" i="49"/>
  <c r="AG31" i="49"/>
  <c r="AG30" i="49" s="1"/>
  <c r="Z40" i="49"/>
  <c r="J53" i="49"/>
  <c r="N51" i="49"/>
  <c r="O43" i="49"/>
  <c r="R15" i="49"/>
  <c r="P19" i="49"/>
  <c r="G11" i="49"/>
  <c r="G9" i="49" s="1"/>
  <c r="G8" i="49" s="1"/>
  <c r="G22" i="49" s="1"/>
  <c r="O42" i="49"/>
  <c r="Q33" i="49"/>
  <c r="Q31" i="49" s="1"/>
  <c r="Q30" i="49" s="1"/>
  <c r="O39" i="49"/>
  <c r="R12" i="49"/>
  <c r="H51" i="49"/>
  <c r="R17" i="49"/>
  <c r="R51" i="49" s="1"/>
  <c r="F38" i="49"/>
  <c r="H33" i="49"/>
  <c r="H31" i="49" s="1"/>
  <c r="H30" i="49" s="1"/>
  <c r="H44" i="49" s="1"/>
  <c r="I31" i="49"/>
  <c r="I30" i="49" s="1"/>
  <c r="S16" i="49"/>
  <c r="I52" i="49"/>
  <c r="J19" i="49"/>
  <c r="R21" i="49"/>
  <c r="R53" i="49" s="1"/>
  <c r="S15" i="49"/>
  <c r="R20" i="49"/>
  <c r="R52" i="49" s="1"/>
  <c r="S35" i="49"/>
  <c r="S31" i="49" s="1"/>
  <c r="S30" i="49" s="1"/>
  <c r="S40" i="49" s="1"/>
  <c r="E15" i="49"/>
  <c r="O37" i="49"/>
  <c r="O41" i="49"/>
  <c r="L11" i="49"/>
  <c r="L9" i="49" s="1"/>
  <c r="L8" i="49" s="1"/>
  <c r="Q16" i="49"/>
  <c r="O10" i="49"/>
  <c r="P15" i="49"/>
  <c r="R16" i="49"/>
  <c r="F51" i="49"/>
  <c r="E17" i="49"/>
  <c r="R14" i="49"/>
  <c r="O14" i="49" s="1"/>
  <c r="E14" i="49"/>
  <c r="J15" i="49"/>
  <c r="N52" i="49"/>
  <c r="S20" i="49"/>
  <c r="S52" i="49" s="1"/>
  <c r="J20" i="49"/>
  <c r="J52" i="49" s="1"/>
  <c r="J31" i="49"/>
  <c r="S19" i="49"/>
  <c r="P17" i="49"/>
  <c r="P20" i="49"/>
  <c r="H53" i="49"/>
  <c r="E21" i="49"/>
  <c r="E53" i="49" s="1"/>
  <c r="N53" i="49"/>
  <c r="S21" i="49"/>
  <c r="S53" i="49" s="1"/>
  <c r="N44" i="49"/>
  <c r="N40" i="49"/>
  <c r="E38" i="49"/>
  <c r="E30" i="49" s="1"/>
  <c r="F30" i="49"/>
  <c r="Q17" i="49"/>
  <c r="E19" i="49"/>
  <c r="E20" i="49"/>
  <c r="E52" i="49" s="1"/>
  <c r="Q20" i="49"/>
  <c r="Q52" i="49" s="1"/>
  <c r="P53" i="49"/>
  <c r="I44" i="49"/>
  <c r="I40" i="49"/>
  <c r="G44" i="49"/>
  <c r="G40" i="49"/>
  <c r="O32" i="49"/>
  <c r="K38" i="49"/>
  <c r="K30" i="49" s="1"/>
  <c r="L44" i="49"/>
  <c r="L40" i="49"/>
  <c r="O36" i="49"/>
  <c r="M40" i="49"/>
  <c r="Q53" i="49"/>
  <c r="BC30" i="49" l="1"/>
  <c r="BA31" i="49"/>
  <c r="CQ44" i="49"/>
  <c r="CC22" i="49"/>
  <c r="BX9" i="49"/>
  <c r="BX8" i="49" s="1"/>
  <c r="BX22" i="49" s="1"/>
  <c r="BO16" i="49"/>
  <c r="BO8" i="49" s="1"/>
  <c r="BP8" i="49"/>
  <c r="BD22" i="49"/>
  <c r="CC38" i="49"/>
  <c r="CC30" i="49" s="1"/>
  <c r="CD30" i="49"/>
  <c r="AV16" i="49"/>
  <c r="AV8" i="49" s="1"/>
  <c r="AV22" i="49" s="1"/>
  <c r="AK18" i="49"/>
  <c r="AV31" i="49"/>
  <c r="CO18" i="49"/>
  <c r="BU38" i="49"/>
  <c r="BU30" i="49" s="1"/>
  <c r="G18" i="49"/>
  <c r="CM30" i="49"/>
  <c r="CM40" i="49" s="1"/>
  <c r="AQ31" i="49"/>
  <c r="BV30" i="49"/>
  <c r="CP22" i="49"/>
  <c r="CP18" i="49"/>
  <c r="CP40" i="49"/>
  <c r="CP44" i="49"/>
  <c r="BW33" i="49"/>
  <c r="BW31" i="49" s="1"/>
  <c r="BW30" i="49" s="1"/>
  <c r="BX31" i="49"/>
  <c r="BX30" i="49" s="1"/>
  <c r="BT9" i="49"/>
  <c r="CI44" i="49"/>
  <c r="CI40" i="49"/>
  <c r="BK8" i="49"/>
  <c r="BJ16" i="49"/>
  <c r="BJ8" i="49" s="1"/>
  <c r="CQ9" i="49"/>
  <c r="CQ8" i="49" s="1"/>
  <c r="CM51" i="49"/>
  <c r="CN16" i="49"/>
  <c r="CM16" i="49" s="1"/>
  <c r="CM8" i="49" s="1"/>
  <c r="BT16" i="49"/>
  <c r="BT8" i="49" s="1"/>
  <c r="BU8" i="49"/>
  <c r="BP44" i="49"/>
  <c r="BP40" i="49"/>
  <c r="CE44" i="49"/>
  <c r="CE40" i="49"/>
  <c r="CD22" i="49"/>
  <c r="CD18" i="49"/>
  <c r="CN30" i="49"/>
  <c r="BN22" i="49"/>
  <c r="BN18" i="49"/>
  <c r="BR22" i="49"/>
  <c r="BR18" i="49"/>
  <c r="BW22" i="49"/>
  <c r="BW18" i="49"/>
  <c r="CH44" i="49"/>
  <c r="CH40" i="49"/>
  <c r="BO44" i="49"/>
  <c r="BO40" i="49"/>
  <c r="CM31" i="49"/>
  <c r="CI8" i="49"/>
  <c r="CH16" i="49"/>
  <c r="CH8" i="49" s="1"/>
  <c r="BK30" i="49"/>
  <c r="BJ38" i="49"/>
  <c r="BJ30" i="49" s="1"/>
  <c r="BJ9" i="49"/>
  <c r="AQ22" i="49"/>
  <c r="AQ18" i="49"/>
  <c r="BA44" i="49"/>
  <c r="BA40" i="49"/>
  <c r="BB16" i="49"/>
  <c r="BA51" i="49"/>
  <c r="AZ22" i="49"/>
  <c r="AZ18" i="49"/>
  <c r="AV44" i="49"/>
  <c r="AV40" i="49"/>
  <c r="AR44" i="49"/>
  <c r="AR40" i="49"/>
  <c r="AZ44" i="49"/>
  <c r="AZ40" i="49"/>
  <c r="BC22" i="49"/>
  <c r="BC18" i="49"/>
  <c r="BC44" i="49"/>
  <c r="BC40" i="49"/>
  <c r="AU22" i="49"/>
  <c r="AU18" i="49"/>
  <c r="BD44" i="49"/>
  <c r="BD40" i="49"/>
  <c r="AW44" i="49"/>
  <c r="AW40" i="49"/>
  <c r="AV9" i="49"/>
  <c r="BE44" i="49"/>
  <c r="BE40" i="49"/>
  <c r="BE22" i="49"/>
  <c r="BE18" i="49"/>
  <c r="BB44" i="49"/>
  <c r="BB40" i="49"/>
  <c r="AQ40" i="49"/>
  <c r="AQ44" i="49"/>
  <c r="AR18" i="49"/>
  <c r="AR22" i="49"/>
  <c r="AW22" i="49"/>
  <c r="AW18" i="49"/>
  <c r="AK30" i="49"/>
  <c r="AH31" i="49"/>
  <c r="AC22" i="49"/>
  <c r="AC18" i="49"/>
  <c r="X16" i="49"/>
  <c r="X8" i="49" s="1"/>
  <c r="Y8" i="49"/>
  <c r="X40" i="49"/>
  <c r="X44" i="49"/>
  <c r="AH44" i="49"/>
  <c r="AH40" i="49"/>
  <c r="AH51" i="49"/>
  <c r="AI16" i="49"/>
  <c r="AH9" i="49"/>
  <c r="AD22" i="49"/>
  <c r="AD18" i="49"/>
  <c r="AL44" i="49"/>
  <c r="AL40" i="49"/>
  <c r="Y44" i="49"/>
  <c r="Y40" i="49"/>
  <c r="AG44" i="49"/>
  <c r="AG40" i="49"/>
  <c r="AJ22" i="49"/>
  <c r="AJ18" i="49"/>
  <c r="AJ44" i="49"/>
  <c r="AJ40" i="49"/>
  <c r="AC31" i="49"/>
  <c r="AD44" i="49"/>
  <c r="AD40" i="49"/>
  <c r="AL22" i="49"/>
  <c r="AL18" i="49"/>
  <c r="AI44" i="49"/>
  <c r="AI40" i="49"/>
  <c r="AC44" i="49"/>
  <c r="AC40" i="49"/>
  <c r="S44" i="49"/>
  <c r="R33" i="49"/>
  <c r="R31" i="49" s="1"/>
  <c r="R30" i="49" s="1"/>
  <c r="R44" i="49" s="1"/>
  <c r="E31" i="49"/>
  <c r="H40" i="49"/>
  <c r="J17" i="49"/>
  <c r="K16" i="49" s="1"/>
  <c r="N13" i="49"/>
  <c r="N9" i="49" s="1"/>
  <c r="N8" i="49" s="1"/>
  <c r="O19" i="49"/>
  <c r="O15" i="49"/>
  <c r="O21" i="49"/>
  <c r="O53" i="49" s="1"/>
  <c r="K44" i="49"/>
  <c r="K40" i="49"/>
  <c r="J38" i="49"/>
  <c r="J30" i="49" s="1"/>
  <c r="P38" i="49"/>
  <c r="O31" i="49"/>
  <c r="P51" i="49"/>
  <c r="E51" i="49"/>
  <c r="F16" i="49"/>
  <c r="E44" i="49"/>
  <c r="E40" i="49"/>
  <c r="I51" i="49"/>
  <c r="I13" i="49"/>
  <c r="M11" i="49"/>
  <c r="M9" i="49" s="1"/>
  <c r="L22" i="49"/>
  <c r="L18" i="49"/>
  <c r="R40" i="49"/>
  <c r="Q44" i="49"/>
  <c r="Q40" i="49"/>
  <c r="Q51" i="49"/>
  <c r="Q11" i="49"/>
  <c r="Q9" i="49" s="1"/>
  <c r="F44" i="49"/>
  <c r="F40" i="49"/>
  <c r="P52" i="49"/>
  <c r="O20" i="49"/>
  <c r="O52" i="49" s="1"/>
  <c r="S17" i="49"/>
  <c r="O17" i="49" s="1"/>
  <c r="CM44" i="49" l="1"/>
  <c r="AV18" i="49"/>
  <c r="BX18" i="49"/>
  <c r="BO22" i="49"/>
  <c r="BO18" i="49"/>
  <c r="CD40" i="49"/>
  <c r="CD44" i="49"/>
  <c r="CC40" i="49"/>
  <c r="CC44" i="49"/>
  <c r="J51" i="49"/>
  <c r="BT38" i="49"/>
  <c r="BT30" i="49" s="1"/>
  <c r="BT40" i="49" s="1"/>
  <c r="BP22" i="49"/>
  <c r="BP18" i="49"/>
  <c r="BT22" i="49"/>
  <c r="BT18" i="49"/>
  <c r="CM22" i="49"/>
  <c r="CM18" i="49"/>
  <c r="BJ22" i="49"/>
  <c r="BJ18" i="49"/>
  <c r="BX44" i="49"/>
  <c r="BX40" i="49"/>
  <c r="CI22" i="49"/>
  <c r="CI18" i="49"/>
  <c r="CN44" i="49"/>
  <c r="CN40" i="49"/>
  <c r="BK22" i="49"/>
  <c r="BK18" i="49"/>
  <c r="BW44" i="49"/>
  <c r="BW40" i="49"/>
  <c r="BU44" i="49"/>
  <c r="BU40" i="49"/>
  <c r="CH22" i="49"/>
  <c r="CH18" i="49"/>
  <c r="BJ40" i="49"/>
  <c r="BJ44" i="49"/>
  <c r="CN8" i="49"/>
  <c r="BV40" i="49"/>
  <c r="BV44" i="49"/>
  <c r="BU22" i="49"/>
  <c r="BU18" i="49"/>
  <c r="BK44" i="49"/>
  <c r="BK40" i="49"/>
  <c r="CQ22" i="49"/>
  <c r="CQ18" i="49"/>
  <c r="CM9" i="49"/>
  <c r="BT31" i="49"/>
  <c r="BA16" i="49"/>
  <c r="BA8" i="49" s="1"/>
  <c r="BB8" i="49"/>
  <c r="Y22" i="49"/>
  <c r="Y18" i="49"/>
  <c r="AH16" i="49"/>
  <c r="AH8" i="49" s="1"/>
  <c r="AI8" i="49"/>
  <c r="X22" i="49"/>
  <c r="X18" i="49"/>
  <c r="AK44" i="49"/>
  <c r="AK40" i="49"/>
  <c r="M8" i="49"/>
  <c r="J9" i="49"/>
  <c r="J16" i="49"/>
  <c r="J8" i="49" s="1"/>
  <c r="K8" i="49"/>
  <c r="O38" i="49"/>
  <c r="O30" i="49" s="1"/>
  <c r="P30" i="49"/>
  <c r="O51" i="49"/>
  <c r="P16" i="49"/>
  <c r="N22" i="49"/>
  <c r="N18" i="49"/>
  <c r="J44" i="49"/>
  <c r="J40" i="49"/>
  <c r="Q8" i="49"/>
  <c r="S51" i="49"/>
  <c r="S13" i="49"/>
  <c r="H11" i="49"/>
  <c r="H9" i="49" s="1"/>
  <c r="I9" i="49"/>
  <c r="I8" i="49" s="1"/>
  <c r="E16" i="49"/>
  <c r="E8" i="49" s="1"/>
  <c r="F8" i="49"/>
  <c r="BT44" i="49" l="1"/>
  <c r="CN18" i="49"/>
  <c r="CN22" i="49"/>
  <c r="BB22" i="49"/>
  <c r="BB18" i="49"/>
  <c r="BA22" i="49"/>
  <c r="BA18" i="49"/>
  <c r="AI22" i="49"/>
  <c r="AI18" i="49"/>
  <c r="AH22" i="49"/>
  <c r="AH18" i="49"/>
  <c r="E22" i="49"/>
  <c r="E18" i="49"/>
  <c r="R11" i="49"/>
  <c r="R9" i="49" s="1"/>
  <c r="S9" i="49"/>
  <c r="S8" i="49" s="1"/>
  <c r="P44" i="49"/>
  <c r="P40" i="49"/>
  <c r="O40" i="49"/>
  <c r="O44" i="49"/>
  <c r="K22" i="49"/>
  <c r="K18" i="49"/>
  <c r="O16" i="49"/>
  <c r="O8" i="49" s="1"/>
  <c r="P8" i="49"/>
  <c r="I22" i="49"/>
  <c r="I18" i="49"/>
  <c r="J22" i="49"/>
  <c r="J18" i="49"/>
  <c r="M22" i="49"/>
  <c r="M18" i="49"/>
  <c r="F22" i="49"/>
  <c r="F18" i="49"/>
  <c r="H8" i="49"/>
  <c r="E9" i="49"/>
  <c r="Q22" i="49"/>
  <c r="Q18" i="49"/>
  <c r="S18" i="49" l="1"/>
  <c r="S22" i="49"/>
  <c r="H22" i="49"/>
  <c r="H18" i="49"/>
  <c r="P22" i="49"/>
  <c r="P18" i="49"/>
  <c r="R8" i="49"/>
  <c r="O9" i="49"/>
  <c r="O22" i="49"/>
  <c r="O18" i="49"/>
  <c r="R22" i="49" l="1"/>
  <c r="R18" i="49"/>
  <c r="W38" i="6" l="1"/>
  <c r="V38" i="6"/>
  <c r="U38" i="6"/>
  <c r="T38" i="6"/>
  <c r="Q38" i="6"/>
  <c r="P38" i="6"/>
  <c r="O38" i="6"/>
  <c r="N38" i="6"/>
  <c r="K38" i="6"/>
  <c r="J38" i="6"/>
  <c r="I38" i="6"/>
  <c r="H38" i="6"/>
  <c r="L38" i="6" s="1"/>
  <c r="E38" i="6"/>
  <c r="D38" i="6"/>
  <c r="C38" i="6"/>
  <c r="B38" i="6"/>
  <c r="F38" i="6" l="1"/>
  <c r="X38" i="6"/>
  <c r="R38" i="6"/>
  <c r="R23" i="6"/>
  <c r="L23" i="6"/>
  <c r="F23" i="6"/>
  <c r="R9" i="6"/>
  <c r="L9" i="6"/>
  <c r="F9" i="6"/>
  <c r="AC55" i="4"/>
  <c r="AC59" i="4" s="1"/>
  <c r="AD54" i="4"/>
  <c r="AD53" i="4"/>
  <c r="AD52" i="4"/>
  <c r="AD51" i="4"/>
  <c r="AC50" i="4"/>
  <c r="AC58" i="4" s="1"/>
  <c r="AC49" i="4"/>
  <c r="AC57" i="4" s="1"/>
  <c r="AD48" i="4"/>
  <c r="AD46" i="4"/>
  <c r="AD45" i="4"/>
  <c r="AD44" i="4"/>
  <c r="AD43" i="4"/>
  <c r="AD42" i="4"/>
  <c r="AD41" i="4"/>
  <c r="AD40" i="4"/>
  <c r="AD39" i="4"/>
  <c r="AD38" i="4"/>
  <c r="AC37" i="4"/>
  <c r="AC56" i="4" s="1"/>
  <c r="AD36" i="4"/>
  <c r="AD35" i="4"/>
  <c r="AD34" i="4"/>
  <c r="AD33" i="4"/>
  <c r="AD32" i="4"/>
  <c r="AD31" i="4"/>
  <c r="AD30" i="4"/>
  <c r="AD29" i="4"/>
  <c r="AD28" i="4"/>
  <c r="AD27" i="4"/>
  <c r="AD26" i="4"/>
  <c r="AD25" i="4"/>
  <c r="AD24" i="4"/>
  <c r="AD23" i="4"/>
  <c r="AD22" i="4"/>
  <c r="AD21" i="4"/>
  <c r="AD20" i="4"/>
  <c r="AD19" i="4"/>
  <c r="AD18" i="4"/>
  <c r="AD17" i="4"/>
  <c r="V55" i="4"/>
  <c r="V59" i="4" s="1"/>
  <c r="W54" i="4"/>
  <c r="W53" i="4"/>
  <c r="W52" i="4"/>
  <c r="W51" i="4"/>
  <c r="V50" i="4"/>
  <c r="V58" i="4" s="1"/>
  <c r="V49" i="4"/>
  <c r="V57" i="4" s="1"/>
  <c r="W48" i="4"/>
  <c r="W46" i="4"/>
  <c r="W45" i="4"/>
  <c r="W44" i="4"/>
  <c r="W43" i="4"/>
  <c r="W42" i="4"/>
  <c r="W41" i="4"/>
  <c r="W40" i="4"/>
  <c r="W39" i="4"/>
  <c r="W38" i="4"/>
  <c r="V37" i="4"/>
  <c r="V56" i="4" s="1"/>
  <c r="V60" i="4" s="1"/>
  <c r="W36" i="4"/>
  <c r="W35" i="4"/>
  <c r="W34" i="4"/>
  <c r="W33" i="4"/>
  <c r="W32" i="4"/>
  <c r="W31" i="4"/>
  <c r="W30" i="4"/>
  <c r="W29" i="4"/>
  <c r="W28" i="4"/>
  <c r="W27" i="4"/>
  <c r="W26" i="4"/>
  <c r="W25" i="4"/>
  <c r="W24" i="4"/>
  <c r="W23" i="4"/>
  <c r="W22" i="4"/>
  <c r="W21" i="4"/>
  <c r="W20" i="4"/>
  <c r="W19" i="4"/>
  <c r="W18" i="4"/>
  <c r="W17" i="4"/>
  <c r="O55" i="4"/>
  <c r="O59" i="4" s="1"/>
  <c r="P54" i="4"/>
  <c r="P53" i="4"/>
  <c r="P52" i="4"/>
  <c r="P51" i="4"/>
  <c r="O50" i="4"/>
  <c r="O58" i="4" s="1"/>
  <c r="O49" i="4"/>
  <c r="O57" i="4" s="1"/>
  <c r="P48" i="4"/>
  <c r="P46" i="4"/>
  <c r="P45" i="4"/>
  <c r="P44" i="4"/>
  <c r="P43" i="4"/>
  <c r="P42" i="4"/>
  <c r="P41" i="4"/>
  <c r="P40" i="4"/>
  <c r="P39" i="4"/>
  <c r="P38" i="4"/>
  <c r="O37" i="4"/>
  <c r="O56" i="4" s="1"/>
  <c r="P36" i="4"/>
  <c r="P35" i="4"/>
  <c r="P34" i="4"/>
  <c r="P33" i="4"/>
  <c r="P32" i="4"/>
  <c r="P31" i="4"/>
  <c r="P30" i="4"/>
  <c r="P29" i="4"/>
  <c r="P28" i="4"/>
  <c r="P27" i="4"/>
  <c r="P26" i="4"/>
  <c r="P25" i="4"/>
  <c r="P24" i="4"/>
  <c r="P23" i="4"/>
  <c r="P22" i="4"/>
  <c r="P21" i="4"/>
  <c r="P20" i="4"/>
  <c r="P19" i="4"/>
  <c r="P18" i="4"/>
  <c r="P17" i="4"/>
  <c r="Q55" i="4"/>
  <c r="Q59" i="4" s="1"/>
  <c r="R54" i="4"/>
  <c r="R53" i="4"/>
  <c r="R52" i="4"/>
  <c r="R51" i="4"/>
  <c r="Q50" i="4"/>
  <c r="Q58" i="4" s="1"/>
  <c r="Q49" i="4"/>
  <c r="Q57" i="4" s="1"/>
  <c r="R48" i="4"/>
  <c r="R46" i="4"/>
  <c r="R45" i="4"/>
  <c r="R44" i="4"/>
  <c r="R43" i="4"/>
  <c r="R42" i="4"/>
  <c r="R41" i="4"/>
  <c r="R40" i="4"/>
  <c r="R39" i="4"/>
  <c r="R38" i="4"/>
  <c r="Q37" i="4"/>
  <c r="Q56" i="4" s="1"/>
  <c r="Q60" i="4" s="1"/>
  <c r="R36" i="4"/>
  <c r="R35" i="4"/>
  <c r="R34" i="4"/>
  <c r="R33" i="4"/>
  <c r="R32" i="4"/>
  <c r="R31" i="4"/>
  <c r="R30" i="4"/>
  <c r="R29" i="4"/>
  <c r="R28" i="4"/>
  <c r="R27" i="4"/>
  <c r="R26" i="4"/>
  <c r="R25" i="4"/>
  <c r="R24" i="4"/>
  <c r="R23" i="4"/>
  <c r="R22" i="4"/>
  <c r="R21" i="4"/>
  <c r="R20" i="4"/>
  <c r="R19" i="4"/>
  <c r="R18" i="4"/>
  <c r="R17" i="4"/>
  <c r="Y65"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R65"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K65"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M65"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W47" i="6"/>
  <c r="V47" i="6"/>
  <c r="U47" i="6"/>
  <c r="W46" i="6"/>
  <c r="V46" i="6"/>
  <c r="U46" i="6"/>
  <c r="W45" i="6"/>
  <c r="V45" i="6"/>
  <c r="U45" i="6"/>
  <c r="W44" i="6"/>
  <c r="V44" i="6"/>
  <c r="U44" i="6"/>
  <c r="W43" i="6"/>
  <c r="V43" i="6"/>
  <c r="U43" i="6"/>
  <c r="W42" i="6"/>
  <c r="V42" i="6"/>
  <c r="U42" i="6"/>
  <c r="W41" i="6"/>
  <c r="V41" i="6"/>
  <c r="U41" i="6"/>
  <c r="W40" i="6"/>
  <c r="V40" i="6"/>
  <c r="U40" i="6"/>
  <c r="W39" i="6"/>
  <c r="V39" i="6"/>
  <c r="U39" i="6"/>
  <c r="X18" i="6"/>
  <c r="X17" i="6"/>
  <c r="X16" i="6"/>
  <c r="X15" i="6"/>
  <c r="X14" i="6"/>
  <c r="X13" i="6"/>
  <c r="X12" i="6"/>
  <c r="X11" i="6"/>
  <c r="X10" i="6"/>
  <c r="Q47" i="6"/>
  <c r="P47" i="6"/>
  <c r="O47" i="6"/>
  <c r="Q46" i="6"/>
  <c r="P46" i="6"/>
  <c r="O46" i="6"/>
  <c r="Q45" i="6"/>
  <c r="P45" i="6"/>
  <c r="O45" i="6"/>
  <c r="Q44" i="6"/>
  <c r="P44" i="6"/>
  <c r="O44" i="6"/>
  <c r="Q43" i="6"/>
  <c r="P43" i="6"/>
  <c r="O43" i="6"/>
  <c r="Q42" i="6"/>
  <c r="P42" i="6"/>
  <c r="O42" i="6"/>
  <c r="Q41" i="6"/>
  <c r="P41" i="6"/>
  <c r="O41" i="6"/>
  <c r="Q40" i="6"/>
  <c r="P40" i="6"/>
  <c r="O40" i="6"/>
  <c r="Q39" i="6"/>
  <c r="P39" i="6"/>
  <c r="O39" i="6"/>
  <c r="R26" i="6"/>
  <c r="N39" i="6"/>
  <c r="R18" i="6"/>
  <c r="R17" i="6"/>
  <c r="R16" i="6"/>
  <c r="R15" i="6"/>
  <c r="R14" i="6"/>
  <c r="R13" i="6"/>
  <c r="R12" i="6"/>
  <c r="R11" i="6"/>
  <c r="R10" i="6"/>
  <c r="H32" i="6"/>
  <c r="N32" i="6" s="1"/>
  <c r="H31" i="6"/>
  <c r="N31" i="6" s="1"/>
  <c r="R31" i="6" s="1"/>
  <c r="H30" i="6"/>
  <c r="L30" i="6" s="1"/>
  <c r="H29" i="6"/>
  <c r="H44" i="6" s="1"/>
  <c r="H28" i="6"/>
  <c r="N28" i="6" s="1"/>
  <c r="H42" i="6"/>
  <c r="L26" i="6"/>
  <c r="H40" i="6"/>
  <c r="K47" i="6"/>
  <c r="J47" i="6"/>
  <c r="I47" i="6"/>
  <c r="K46" i="6"/>
  <c r="J46" i="6"/>
  <c r="I46" i="6"/>
  <c r="K45" i="6"/>
  <c r="J45" i="6"/>
  <c r="I45" i="6"/>
  <c r="K44" i="6"/>
  <c r="J44" i="6"/>
  <c r="I44" i="6"/>
  <c r="K43" i="6"/>
  <c r="J43" i="6"/>
  <c r="I43" i="6"/>
  <c r="K42" i="6"/>
  <c r="J42" i="6"/>
  <c r="I42" i="6"/>
  <c r="K41" i="6"/>
  <c r="J41" i="6"/>
  <c r="I41" i="6"/>
  <c r="K40" i="6"/>
  <c r="J40" i="6"/>
  <c r="I40" i="6"/>
  <c r="K39" i="6"/>
  <c r="J39" i="6"/>
  <c r="I39" i="6"/>
  <c r="H39" i="6"/>
  <c r="L31" i="6"/>
  <c r="L24" i="6"/>
  <c r="L18" i="6"/>
  <c r="L17" i="6"/>
  <c r="L16" i="6"/>
  <c r="L15" i="6"/>
  <c r="L14" i="6"/>
  <c r="L13" i="6"/>
  <c r="L12" i="6"/>
  <c r="L11" i="6"/>
  <c r="L10" i="6"/>
  <c r="A47" i="6"/>
  <c r="A46" i="6"/>
  <c r="A45" i="6"/>
  <c r="A44" i="6"/>
  <c r="A43" i="6"/>
  <c r="A42" i="6"/>
  <c r="A41" i="6"/>
  <c r="A40" i="6"/>
  <c r="A39" i="6"/>
  <c r="A38" i="6"/>
  <c r="A32" i="6"/>
  <c r="A31" i="6"/>
  <c r="A30" i="6"/>
  <c r="A29" i="6"/>
  <c r="A28" i="6"/>
  <c r="A27" i="6"/>
  <c r="A26" i="6"/>
  <c r="A25" i="6"/>
  <c r="A24" i="6"/>
  <c r="A23" i="6"/>
  <c r="A18" i="6"/>
  <c r="A17" i="6"/>
  <c r="A16" i="6"/>
  <c r="A15" i="6"/>
  <c r="A14" i="6"/>
  <c r="A13" i="6"/>
  <c r="A12" i="6"/>
  <c r="A11" i="6"/>
  <c r="A10" i="6"/>
  <c r="A9" i="6"/>
  <c r="S61" i="5" l="1"/>
  <c r="N61" i="5"/>
  <c r="AD50" i="4"/>
  <c r="AD58" i="4" s="1"/>
  <c r="R37" i="4"/>
  <c r="R56" i="4" s="1"/>
  <c r="H46" i="6"/>
  <c r="L63" i="5"/>
  <c r="Z63" i="5"/>
  <c r="N29" i="6"/>
  <c r="R29" i="6" s="1"/>
  <c r="N62" i="5"/>
  <c r="S62" i="5"/>
  <c r="N63" i="5"/>
  <c r="S63" i="5"/>
  <c r="L61" i="5"/>
  <c r="Z61" i="5"/>
  <c r="Z62" i="5"/>
  <c r="L62" i="5"/>
  <c r="W37" i="4"/>
  <c r="W56" i="4" s="1"/>
  <c r="L27" i="6"/>
  <c r="T39" i="6"/>
  <c r="X39" i="6" s="1"/>
  <c r="R27" i="6"/>
  <c r="T41" i="6"/>
  <c r="X41" i="6" s="1"/>
  <c r="R25" i="6"/>
  <c r="R39" i="6"/>
  <c r="L39" i="6"/>
  <c r="L40" i="6"/>
  <c r="L42" i="6"/>
  <c r="R50" i="4"/>
  <c r="R58" i="4" s="1"/>
  <c r="P37" i="4"/>
  <c r="P56" i="4" s="1"/>
  <c r="W50" i="4"/>
  <c r="W58" i="4" s="1"/>
  <c r="AD37" i="4"/>
  <c r="AD56" i="4" s="1"/>
  <c r="P50" i="4"/>
  <c r="P58" i="4" s="1"/>
  <c r="R49" i="4"/>
  <c r="R57" i="4" s="1"/>
  <c r="R55" i="4"/>
  <c r="R59" i="4" s="1"/>
  <c r="W49" i="4"/>
  <c r="W57" i="4" s="1"/>
  <c r="W55" i="4"/>
  <c r="W59" i="4" s="1"/>
  <c r="AD49" i="4"/>
  <c r="AD57" i="4" s="1"/>
  <c r="P49" i="4"/>
  <c r="P57" i="4" s="1"/>
  <c r="P55" i="4"/>
  <c r="P59" i="4" s="1"/>
  <c r="AD55" i="4"/>
  <c r="AD59" i="4" s="1"/>
  <c r="AC60" i="4"/>
  <c r="O60" i="4"/>
  <c r="N43" i="6"/>
  <c r="T28" i="6"/>
  <c r="T43" i="6" s="1"/>
  <c r="X43" i="6" s="1"/>
  <c r="N47" i="6"/>
  <c r="R47" i="6" s="1"/>
  <c r="T32" i="6"/>
  <c r="T47" i="6" s="1"/>
  <c r="X47" i="6" s="1"/>
  <c r="N44" i="6"/>
  <c r="R44" i="6" s="1"/>
  <c r="L32" i="6"/>
  <c r="H43" i="6"/>
  <c r="L43" i="6" s="1"/>
  <c r="N30" i="6"/>
  <c r="R30" i="6" s="1"/>
  <c r="X27" i="6"/>
  <c r="T31" i="6"/>
  <c r="X31" i="6" s="1"/>
  <c r="L28" i="6"/>
  <c r="H47" i="6"/>
  <c r="T29" i="6"/>
  <c r="L47" i="6"/>
  <c r="L44" i="6"/>
  <c r="L46" i="6"/>
  <c r="R43" i="6"/>
  <c r="X23" i="6"/>
  <c r="X24" i="6"/>
  <c r="T46" i="6"/>
  <c r="X46" i="6" s="1"/>
  <c r="R24" i="6"/>
  <c r="R28" i="6"/>
  <c r="R32" i="6"/>
  <c r="N41" i="6"/>
  <c r="R41" i="6" s="1"/>
  <c r="N46" i="6"/>
  <c r="R46" i="6" s="1"/>
  <c r="L25" i="6"/>
  <c r="L29" i="6"/>
  <c r="H41" i="6"/>
  <c r="L41" i="6" s="1"/>
  <c r="H45" i="6"/>
  <c r="L45" i="6" s="1"/>
  <c r="S65" i="5" l="1"/>
  <c r="N65" i="5"/>
  <c r="W60" i="4"/>
  <c r="R60" i="4"/>
  <c r="X28" i="6"/>
  <c r="P60" i="4"/>
  <c r="Z65" i="5"/>
  <c r="L65" i="5"/>
  <c r="T42" i="6"/>
  <c r="X42" i="6" s="1"/>
  <c r="N42" i="6"/>
  <c r="R42" i="6" s="1"/>
  <c r="X26" i="6"/>
  <c r="N40" i="6"/>
  <c r="R40" i="6" s="1"/>
  <c r="AD60" i="4"/>
  <c r="X29" i="6"/>
  <c r="T44" i="6"/>
  <c r="X44" i="6" s="1"/>
  <c r="N45" i="6"/>
  <c r="R45" i="6" s="1"/>
  <c r="T30" i="6"/>
  <c r="X32" i="6"/>
  <c r="X25" i="6"/>
  <c r="T40" i="6"/>
  <c r="X40" i="6" s="1"/>
  <c r="T45" i="6" l="1"/>
  <c r="X45" i="6" s="1"/>
  <c r="X30" i="6"/>
  <c r="I4" i="47" l="1"/>
  <c r="H4" i="47"/>
  <c r="G4" i="47"/>
  <c r="F4" i="47"/>
  <c r="E4" i="47"/>
  <c r="K17" i="7" l="1"/>
  <c r="L17" i="7"/>
  <c r="I17" i="7"/>
  <c r="J17" i="7"/>
  <c r="G17" i="7"/>
  <c r="H17" i="7"/>
  <c r="H14" i="44" l="1"/>
  <c r="H10" i="44"/>
  <c r="H9" i="44"/>
  <c r="E14" i="44"/>
  <c r="E10" i="44"/>
  <c r="E9" i="44"/>
  <c r="E18" i="44" s="1"/>
  <c r="E21" i="44" s="1"/>
  <c r="G14" i="44"/>
  <c r="D14" i="44"/>
  <c r="G10" i="44"/>
  <c r="D10" i="44"/>
  <c r="G9" i="44"/>
  <c r="D9" i="44"/>
  <c r="I14" i="7" l="1"/>
  <c r="K24" i="7" s="1"/>
  <c r="K14" i="7"/>
  <c r="N24" i="7" s="1"/>
  <c r="G14" i="7"/>
  <c r="H24" i="7" s="1"/>
  <c r="E14" i="7"/>
  <c r="E24" i="7" s="1"/>
  <c r="G18" i="44"/>
  <c r="G21" i="44" s="1"/>
  <c r="H18" i="44"/>
  <c r="H21" i="44" s="1"/>
  <c r="D18" i="44"/>
  <c r="D21" i="44" s="1"/>
  <c r="H10" i="7" l="1"/>
  <c r="K32" i="7" l="1"/>
  <c r="M60" i="39" l="1"/>
  <c r="K60" i="39"/>
  <c r="U74" i="39"/>
  <c r="T74" i="39"/>
  <c r="S74" i="39"/>
  <c r="R74" i="39"/>
  <c r="U73" i="39"/>
  <c r="T73" i="39"/>
  <c r="S73" i="39"/>
  <c r="R73" i="39"/>
  <c r="U72" i="39"/>
  <c r="T72" i="39"/>
  <c r="S72" i="39"/>
  <c r="R72" i="39"/>
  <c r="U59" i="39"/>
  <c r="U61" i="39" s="1"/>
  <c r="T59" i="39"/>
  <c r="S59" i="39"/>
  <c r="R59" i="39"/>
  <c r="L59" i="39"/>
  <c r="G59" i="39"/>
  <c r="U58" i="39"/>
  <c r="U56" i="39" s="1"/>
  <c r="T58" i="39"/>
  <c r="S58" i="39"/>
  <c r="R58" i="39"/>
  <c r="L58" i="39"/>
  <c r="G58" i="39"/>
  <c r="R56" i="39"/>
  <c r="P56" i="39"/>
  <c r="O56" i="39"/>
  <c r="N56" i="39"/>
  <c r="L56" i="39" s="1"/>
  <c r="M56" i="39"/>
  <c r="K56" i="39"/>
  <c r="J56" i="39"/>
  <c r="I56" i="39"/>
  <c r="H56" i="39"/>
  <c r="G56" i="39" s="1"/>
  <c r="A33" i="39"/>
  <c r="R33" i="39"/>
  <c r="L28" i="39"/>
  <c r="G28" i="39"/>
  <c r="G26" i="39"/>
  <c r="N25" i="39"/>
  <c r="N60" i="39" s="1"/>
  <c r="T20" i="39"/>
  <c r="S20" i="39"/>
  <c r="O20" i="39"/>
  <c r="I20" i="39"/>
  <c r="R20" i="39"/>
  <c r="M20" i="39"/>
  <c r="N20" i="39"/>
  <c r="J20" i="39"/>
  <c r="H20" i="39"/>
  <c r="U27" i="39"/>
  <c r="T27" i="39"/>
  <c r="T61" i="39" s="1"/>
  <c r="S27" i="39"/>
  <c r="S61" i="39" s="1"/>
  <c r="R27" i="39"/>
  <c r="R61" i="39" s="1"/>
  <c r="P27" i="39"/>
  <c r="P61" i="39" s="1"/>
  <c r="O27" i="39"/>
  <c r="O61" i="39" s="1"/>
  <c r="N27" i="39"/>
  <c r="N61" i="39" s="1"/>
  <c r="M27" i="39"/>
  <c r="M61" i="39" s="1"/>
  <c r="K27" i="39"/>
  <c r="K61" i="39" s="1"/>
  <c r="J27" i="39"/>
  <c r="J61" i="39" s="1"/>
  <c r="I27" i="39"/>
  <c r="I61" i="39" s="1"/>
  <c r="H27" i="39"/>
  <c r="H61" i="39" s="1"/>
  <c r="M17" i="39"/>
  <c r="U18" i="39"/>
  <c r="S18" i="39"/>
  <c r="T13" i="39"/>
  <c r="O13" i="39"/>
  <c r="J13" i="39"/>
  <c r="S13" i="39"/>
  <c r="N13" i="39"/>
  <c r="R13" i="39"/>
  <c r="M13" i="39"/>
  <c r="I13" i="39"/>
  <c r="U25" i="39"/>
  <c r="U60" i="39" s="1"/>
  <c r="T25" i="39"/>
  <c r="T60" i="39" s="1"/>
  <c r="R25" i="39"/>
  <c r="P25" i="39"/>
  <c r="P60" i="39" s="1"/>
  <c r="O25" i="39"/>
  <c r="O60" i="39" s="1"/>
  <c r="M25" i="39"/>
  <c r="K25" i="39"/>
  <c r="J25" i="39"/>
  <c r="J60" i="39" s="1"/>
  <c r="I25" i="39"/>
  <c r="I60" i="39" s="1"/>
  <c r="H25" i="39"/>
  <c r="H60" i="39" s="1"/>
  <c r="P66" i="39"/>
  <c r="O66" i="39"/>
  <c r="N66" i="39"/>
  <c r="J66" i="39"/>
  <c r="I66" i="39"/>
  <c r="Q58" i="39" l="1"/>
  <c r="Q59" i="39"/>
  <c r="R60" i="39"/>
  <c r="H17" i="39"/>
  <c r="I17" i="39" s="1"/>
  <c r="G18" i="39"/>
  <c r="G65" i="39"/>
  <c r="Q12" i="39"/>
  <c r="R18" i="39"/>
  <c r="R17" i="39" s="1"/>
  <c r="S33" i="39"/>
  <c r="Q65" i="39"/>
  <c r="H66" i="39"/>
  <c r="G12" i="39"/>
  <c r="H13" i="39"/>
  <c r="H10" i="39" s="1"/>
  <c r="T18" i="39"/>
  <c r="L26" i="39"/>
  <c r="Q28" i="39"/>
  <c r="U33" i="39"/>
  <c r="L65" i="39"/>
  <c r="Q57" i="39"/>
  <c r="Q26" i="39"/>
  <c r="T33" i="39"/>
  <c r="J17" i="39"/>
  <c r="K17" i="39" s="1"/>
  <c r="S17" i="39"/>
  <c r="N17" i="39"/>
  <c r="Q27" i="39"/>
  <c r="L25" i="39"/>
  <c r="L27" i="39"/>
  <c r="L61" i="39" s="1"/>
  <c r="G25" i="39"/>
  <c r="G60" i="39" s="1"/>
  <c r="G27" i="39"/>
  <c r="G61" i="39" s="1"/>
  <c r="H24" i="39"/>
  <c r="L12" i="39"/>
  <c r="L18" i="39"/>
  <c r="K66" i="39"/>
  <c r="Q19" i="39"/>
  <c r="S56" i="39"/>
  <c r="Q56" i="39" s="1"/>
  <c r="L19" i="39"/>
  <c r="T56" i="39"/>
  <c r="S11" i="39"/>
  <c r="S66" i="39" s="1"/>
  <c r="G19" i="39"/>
  <c r="S25" i="39"/>
  <c r="S60" i="39" s="1"/>
  <c r="T11" i="39"/>
  <c r="T66" i="39" s="1"/>
  <c r="S26" i="35"/>
  <c r="P26" i="35"/>
  <c r="O26" i="35"/>
  <c r="N26" i="35"/>
  <c r="M26" i="35"/>
  <c r="S25" i="35"/>
  <c r="P25" i="35"/>
  <c r="O25" i="35"/>
  <c r="N25" i="35"/>
  <c r="M25" i="35"/>
  <c r="S24" i="35"/>
  <c r="P24" i="35"/>
  <c r="O24" i="35"/>
  <c r="N24" i="35"/>
  <c r="M24" i="35"/>
  <c r="S23" i="35"/>
  <c r="P23" i="35"/>
  <c r="O23" i="35"/>
  <c r="N23" i="35"/>
  <c r="M23" i="35"/>
  <c r="R22" i="35"/>
  <c r="Q22" i="35"/>
  <c r="P22" i="35"/>
  <c r="M22" i="35"/>
  <c r="L22" i="35"/>
  <c r="K22" i="35"/>
  <c r="J22" i="35"/>
  <c r="I22" i="35"/>
  <c r="H22" i="35"/>
  <c r="S21" i="35"/>
  <c r="P21" i="35"/>
  <c r="O21" i="35"/>
  <c r="N21" i="35"/>
  <c r="M21" i="35"/>
  <c r="S20" i="35"/>
  <c r="P20" i="35"/>
  <c r="O20" i="35"/>
  <c r="N20" i="35"/>
  <c r="M20" i="35"/>
  <c r="S19" i="35"/>
  <c r="S18" i="35" s="1"/>
  <c r="P19" i="35"/>
  <c r="O19" i="35"/>
  <c r="O18" i="35" s="1"/>
  <c r="N19" i="35"/>
  <c r="M19" i="35"/>
  <c r="R18" i="35"/>
  <c r="Q18" i="35"/>
  <c r="Q17" i="35" s="1"/>
  <c r="M18" i="35"/>
  <c r="P18" i="35" s="1"/>
  <c r="L18" i="35"/>
  <c r="K18" i="35"/>
  <c r="J18" i="35"/>
  <c r="I18" i="35"/>
  <c r="N18" i="35" s="1"/>
  <c r="H18" i="35"/>
  <c r="H17" i="35" s="1"/>
  <c r="K17" i="35"/>
  <c r="G102" i="36"/>
  <c r="G103" i="36" s="1"/>
  <c r="P79" i="36"/>
  <c r="O79" i="36"/>
  <c r="N79" i="36"/>
  <c r="M79" i="36"/>
  <c r="L79" i="36"/>
  <c r="K79" i="36"/>
  <c r="J79" i="36"/>
  <c r="I79" i="36"/>
  <c r="H79" i="36"/>
  <c r="G79" i="36"/>
  <c r="P78" i="36"/>
  <c r="O78" i="36"/>
  <c r="N78" i="36"/>
  <c r="M78" i="36"/>
  <c r="L78" i="36"/>
  <c r="K78" i="36"/>
  <c r="J78" i="36"/>
  <c r="I78" i="36"/>
  <c r="H78" i="36"/>
  <c r="G78" i="36"/>
  <c r="P63" i="36"/>
  <c r="O63" i="36"/>
  <c r="N63" i="36"/>
  <c r="M63" i="36"/>
  <c r="L63" i="36"/>
  <c r="K63" i="36"/>
  <c r="J63" i="36"/>
  <c r="I63" i="36"/>
  <c r="H63" i="36"/>
  <c r="G63" i="36"/>
  <c r="P61" i="36"/>
  <c r="O61" i="36"/>
  <c r="N61" i="36"/>
  <c r="M61" i="36"/>
  <c r="L61" i="36"/>
  <c r="K61" i="36"/>
  <c r="J61" i="36"/>
  <c r="I61" i="36"/>
  <c r="H61" i="36"/>
  <c r="G61" i="36"/>
  <c r="D42" i="36"/>
  <c r="D41" i="36"/>
  <c r="D40" i="36"/>
  <c r="D39" i="36"/>
  <c r="D38" i="36"/>
  <c r="D37" i="36"/>
  <c r="D36" i="36"/>
  <c r="D35" i="36"/>
  <c r="D34" i="36"/>
  <c r="A34" i="36"/>
  <c r="A35" i="36" s="1"/>
  <c r="D33" i="36"/>
  <c r="A33" i="36"/>
  <c r="E33" i="36" s="1"/>
  <c r="E32" i="36"/>
  <c r="D32" i="36"/>
  <c r="G27" i="36"/>
  <c r="G28" i="36" s="1"/>
  <c r="H23" i="36"/>
  <c r="G110" i="36"/>
  <c r="I7" i="36"/>
  <c r="H7" i="36"/>
  <c r="P37" i="34"/>
  <c r="P35" i="34"/>
  <c r="P34" i="34"/>
  <c r="I33" i="34"/>
  <c r="H32" i="34"/>
  <c r="I31" i="34"/>
  <c r="O28" i="34"/>
  <c r="O33" i="34" s="1"/>
  <c r="N28" i="34"/>
  <c r="N33" i="34" s="1"/>
  <c r="M28" i="34"/>
  <c r="M33" i="34" s="1"/>
  <c r="L28" i="34"/>
  <c r="L33" i="34" s="1"/>
  <c r="K28" i="34"/>
  <c r="K33" i="34" s="1"/>
  <c r="J28" i="34"/>
  <c r="J33" i="34" s="1"/>
  <c r="I28" i="34"/>
  <c r="H28" i="34"/>
  <c r="H33" i="34" s="1"/>
  <c r="G28" i="34"/>
  <c r="G33" i="34" s="1"/>
  <c r="F28" i="34"/>
  <c r="F33" i="34" s="1"/>
  <c r="E28" i="34"/>
  <c r="E33" i="34" s="1"/>
  <c r="D28" i="34"/>
  <c r="O27" i="34"/>
  <c r="O32" i="34" s="1"/>
  <c r="N27" i="34"/>
  <c r="N32" i="34" s="1"/>
  <c r="M27" i="34"/>
  <c r="M32" i="34" s="1"/>
  <c r="L27" i="34"/>
  <c r="L32" i="34" s="1"/>
  <c r="K27" i="34"/>
  <c r="K32" i="34" s="1"/>
  <c r="J27" i="34"/>
  <c r="J32" i="34" s="1"/>
  <c r="I27" i="34"/>
  <c r="I32" i="34" s="1"/>
  <c r="H27" i="34"/>
  <c r="G27" i="34"/>
  <c r="G32" i="34" s="1"/>
  <c r="F27" i="34"/>
  <c r="F32" i="34" s="1"/>
  <c r="E27" i="34"/>
  <c r="E32" i="34" s="1"/>
  <c r="D27" i="34"/>
  <c r="O26" i="34"/>
  <c r="O31" i="34" s="1"/>
  <c r="N26" i="34"/>
  <c r="N31" i="34" s="1"/>
  <c r="M26" i="34"/>
  <c r="M31" i="34" s="1"/>
  <c r="L26" i="34"/>
  <c r="L31" i="34" s="1"/>
  <c r="K26" i="34"/>
  <c r="K31" i="34" s="1"/>
  <c r="J26" i="34"/>
  <c r="I26" i="34"/>
  <c r="H26" i="34"/>
  <c r="H31" i="34" s="1"/>
  <c r="G26" i="34"/>
  <c r="G31" i="34" s="1"/>
  <c r="F26" i="34"/>
  <c r="F31" i="34" s="1"/>
  <c r="E26" i="34"/>
  <c r="E31" i="34" s="1"/>
  <c r="D26" i="34"/>
  <c r="P25" i="34"/>
  <c r="P24" i="34"/>
  <c r="P23" i="34"/>
  <c r="P22" i="34"/>
  <c r="P21" i="34"/>
  <c r="P20" i="34"/>
  <c r="P19" i="34"/>
  <c r="P18" i="34"/>
  <c r="P17" i="34"/>
  <c r="P16" i="34"/>
  <c r="P15" i="34"/>
  <c r="P14" i="34"/>
  <c r="O13" i="34"/>
  <c r="N13" i="34"/>
  <c r="M13" i="34"/>
  <c r="L13" i="34"/>
  <c r="K13" i="34"/>
  <c r="J13" i="34"/>
  <c r="I13" i="34"/>
  <c r="H13" i="34"/>
  <c r="G13" i="34"/>
  <c r="F13" i="34"/>
  <c r="E13" i="34"/>
  <c r="D13" i="34"/>
  <c r="P11" i="34"/>
  <c r="B10" i="34"/>
  <c r="C10" i="34" s="1"/>
  <c r="D10" i="34" s="1"/>
  <c r="E10" i="34" s="1"/>
  <c r="F10" i="34" s="1"/>
  <c r="G10" i="34" s="1"/>
  <c r="H10" i="34" s="1"/>
  <c r="I10" i="34" s="1"/>
  <c r="J10" i="34" s="1"/>
  <c r="K10" i="34" s="1"/>
  <c r="L10" i="34" s="1"/>
  <c r="M10" i="34" s="1"/>
  <c r="N10" i="34" s="1"/>
  <c r="O10" i="34" s="1"/>
  <c r="P10" i="34" s="1"/>
  <c r="F58" i="33"/>
  <c r="G58" i="33" s="1"/>
  <c r="H58" i="33" s="1"/>
  <c r="I58" i="33" s="1"/>
  <c r="J58" i="33" s="1"/>
  <c r="K58" i="33" s="1"/>
  <c r="L58" i="33" s="1"/>
  <c r="E58" i="33"/>
  <c r="L49" i="33"/>
  <c r="N48" i="33"/>
  <c r="L48" i="33"/>
  <c r="P45" i="33"/>
  <c r="O45" i="33"/>
  <c r="N45" i="33"/>
  <c r="M45" i="33"/>
  <c r="K45" i="33"/>
  <c r="J45" i="33"/>
  <c r="P42" i="33"/>
  <c r="O42" i="33"/>
  <c r="N42" i="33"/>
  <c r="M42" i="33"/>
  <c r="K42" i="33"/>
  <c r="J42" i="33"/>
  <c r="P39" i="33"/>
  <c r="O39" i="33"/>
  <c r="N39" i="33"/>
  <c r="M39" i="33"/>
  <c r="K39" i="33"/>
  <c r="J39" i="33"/>
  <c r="P36" i="33"/>
  <c r="O36" i="33"/>
  <c r="N36" i="33"/>
  <c r="M36" i="33"/>
  <c r="K36" i="33"/>
  <c r="J36" i="33"/>
  <c r="P33" i="33"/>
  <c r="O33" i="33"/>
  <c r="N33" i="33"/>
  <c r="M33" i="33"/>
  <c r="K33" i="33"/>
  <c r="J33" i="33"/>
  <c r="P30" i="33"/>
  <c r="P49" i="33" s="1"/>
  <c r="O30" i="33"/>
  <c r="O49" i="33" s="1"/>
  <c r="N30" i="33"/>
  <c r="M30" i="33"/>
  <c r="K30" i="33"/>
  <c r="K49" i="33" s="1"/>
  <c r="J30" i="33"/>
  <c r="J49" i="33" s="1"/>
  <c r="P27" i="33"/>
  <c r="O27" i="33"/>
  <c r="N27" i="33"/>
  <c r="M27" i="33"/>
  <c r="K27" i="33"/>
  <c r="J27" i="33"/>
  <c r="P24" i="33"/>
  <c r="O24" i="33"/>
  <c r="N24" i="33"/>
  <c r="M24" i="33"/>
  <c r="K24" i="33"/>
  <c r="J24" i="33"/>
  <c r="P21" i="33"/>
  <c r="O21" i="33"/>
  <c r="N21" i="33"/>
  <c r="M21" i="33"/>
  <c r="K21" i="33"/>
  <c r="J21" i="33"/>
  <c r="P18" i="33"/>
  <c r="O18" i="33"/>
  <c r="N18" i="33"/>
  <c r="M18" i="33"/>
  <c r="K18" i="33"/>
  <c r="J18" i="33"/>
  <c r="P15" i="33"/>
  <c r="O15" i="33"/>
  <c r="N15" i="33"/>
  <c r="M15" i="33"/>
  <c r="K15" i="33"/>
  <c r="J15" i="33"/>
  <c r="C15" i="33"/>
  <c r="C18" i="33" s="1"/>
  <c r="C21" i="33" s="1"/>
  <c r="C24" i="33" s="1"/>
  <c r="P12" i="33"/>
  <c r="P48" i="33" s="1"/>
  <c r="O12" i="33"/>
  <c r="N12" i="33"/>
  <c r="M12" i="33"/>
  <c r="M48" i="33" s="1"/>
  <c r="K12" i="33"/>
  <c r="J12" i="33"/>
  <c r="D12" i="33"/>
  <c r="D11" i="33"/>
  <c r="E11" i="33" s="1"/>
  <c r="M27" i="32"/>
  <c r="J27" i="32"/>
  <c r="I27" i="32"/>
  <c r="M26" i="32"/>
  <c r="L26" i="32"/>
  <c r="J26" i="32"/>
  <c r="I26" i="32"/>
  <c r="H26" i="32"/>
  <c r="G26" i="32"/>
  <c r="G27" i="32" s="1"/>
  <c r="M25" i="32"/>
  <c r="L25" i="32"/>
  <c r="J25" i="32"/>
  <c r="I25" i="32"/>
  <c r="H25" i="32"/>
  <c r="H27" i="32" s="1"/>
  <c r="G25" i="32"/>
  <c r="F24" i="32"/>
  <c r="F23" i="32"/>
  <c r="F22" i="32"/>
  <c r="F21" i="32"/>
  <c r="F20" i="32"/>
  <c r="K26" i="32" s="1"/>
  <c r="F19" i="32"/>
  <c r="F18" i="32"/>
  <c r="F17" i="32"/>
  <c r="F16" i="32"/>
  <c r="F15" i="32"/>
  <c r="F14" i="32"/>
  <c r="N27" i="32" s="1"/>
  <c r="F13" i="32"/>
  <c r="B12" i="32"/>
  <c r="B25" i="32" s="1"/>
  <c r="C11" i="32"/>
  <c r="D11" i="32" s="1"/>
  <c r="E11" i="32" s="1"/>
  <c r="F11" i="32" s="1"/>
  <c r="G11" i="32" s="1"/>
  <c r="H11" i="32" s="1"/>
  <c r="I11" i="32" s="1"/>
  <c r="J11" i="32" s="1"/>
  <c r="K11" i="32" s="1"/>
  <c r="L11" i="32" s="1"/>
  <c r="M11" i="32" s="1"/>
  <c r="N11" i="32" s="1"/>
  <c r="O11" i="32" s="1"/>
  <c r="J49" i="30"/>
  <c r="K49" i="30" s="1"/>
  <c r="K48" i="30" s="1"/>
  <c r="I49" i="30"/>
  <c r="B49" i="30"/>
  <c r="H48" i="30"/>
  <c r="F48" i="30"/>
  <c r="J46" i="30"/>
  <c r="I46" i="30"/>
  <c r="B46" i="30"/>
  <c r="H45" i="30"/>
  <c r="F45" i="30"/>
  <c r="J43" i="30"/>
  <c r="I43" i="30"/>
  <c r="K43" i="30" s="1"/>
  <c r="K42" i="30" s="1"/>
  <c r="B43" i="30"/>
  <c r="H42" i="30"/>
  <c r="F42" i="30"/>
  <c r="J40" i="30"/>
  <c r="I40" i="30"/>
  <c r="B40" i="30"/>
  <c r="H39" i="30"/>
  <c r="F39" i="30"/>
  <c r="J37" i="30"/>
  <c r="K37" i="30" s="1"/>
  <c r="K36" i="30" s="1"/>
  <c r="I37" i="30"/>
  <c r="B37" i="30"/>
  <c r="H36" i="30"/>
  <c r="F36" i="30"/>
  <c r="J34" i="30"/>
  <c r="K34" i="30" s="1"/>
  <c r="K33" i="30" s="1"/>
  <c r="I34" i="30"/>
  <c r="B34" i="30"/>
  <c r="H33" i="30"/>
  <c r="F33" i="30"/>
  <c r="J31" i="30"/>
  <c r="K31" i="30" s="1"/>
  <c r="K30" i="30" s="1"/>
  <c r="I31" i="30"/>
  <c r="B31" i="30"/>
  <c r="H30" i="30"/>
  <c r="F30" i="30"/>
  <c r="J28" i="30"/>
  <c r="I28" i="30"/>
  <c r="B28" i="30"/>
  <c r="H27" i="30"/>
  <c r="F27" i="30"/>
  <c r="J25" i="30"/>
  <c r="I25" i="30"/>
  <c r="B25" i="30"/>
  <c r="H24" i="30"/>
  <c r="F24" i="30"/>
  <c r="J22" i="30"/>
  <c r="I22" i="30"/>
  <c r="K22" i="30" s="1"/>
  <c r="K21" i="30" s="1"/>
  <c r="B22" i="30"/>
  <c r="H21" i="30"/>
  <c r="F21" i="30"/>
  <c r="B19" i="30"/>
  <c r="J18" i="30"/>
  <c r="J19" i="30" s="1"/>
  <c r="I18" i="30"/>
  <c r="B18" i="30"/>
  <c r="H17" i="30"/>
  <c r="F17" i="30"/>
  <c r="B15" i="30"/>
  <c r="J14" i="30"/>
  <c r="J15" i="30" s="1"/>
  <c r="I14" i="30"/>
  <c r="K14" i="30" s="1"/>
  <c r="B14" i="30"/>
  <c r="H13" i="30"/>
  <c r="F13" i="30"/>
  <c r="F51" i="30" s="1"/>
  <c r="K46" i="29"/>
  <c r="B46" i="29"/>
  <c r="K45" i="29"/>
  <c r="B45" i="29"/>
  <c r="K44" i="29"/>
  <c r="B44" i="29"/>
  <c r="K43" i="29"/>
  <c r="B43" i="29"/>
  <c r="K42" i="29"/>
  <c r="B42" i="29"/>
  <c r="K41" i="29"/>
  <c r="B41" i="29"/>
  <c r="K40" i="29"/>
  <c r="B40" i="29"/>
  <c r="K39" i="29"/>
  <c r="B39" i="29"/>
  <c r="K38" i="29"/>
  <c r="B38" i="29"/>
  <c r="K37" i="29"/>
  <c r="B37" i="29"/>
  <c r="K30" i="29"/>
  <c r="B30" i="29"/>
  <c r="K29" i="29"/>
  <c r="B29" i="29"/>
  <c r="K28" i="29"/>
  <c r="B28" i="29"/>
  <c r="K27" i="29"/>
  <c r="B27" i="29"/>
  <c r="K26" i="29"/>
  <c r="B26" i="29"/>
  <c r="K25" i="29"/>
  <c r="B25" i="29"/>
  <c r="K18" i="29"/>
  <c r="B18" i="29"/>
  <c r="K17" i="29"/>
  <c r="B17" i="29"/>
  <c r="K16" i="29"/>
  <c r="B16" i="29"/>
  <c r="K15" i="29"/>
  <c r="B15" i="29"/>
  <c r="K14" i="29"/>
  <c r="B14" i="29"/>
  <c r="K13" i="29"/>
  <c r="B13" i="29"/>
  <c r="K12" i="29"/>
  <c r="B12" i="29"/>
  <c r="K11" i="29"/>
  <c r="B11" i="29"/>
  <c r="K10" i="29"/>
  <c r="B10" i="29"/>
  <c r="K9" i="29"/>
  <c r="B9" i="29"/>
  <c r="J30" i="28"/>
  <c r="I30" i="28"/>
  <c r="G30" i="28"/>
  <c r="F30" i="28"/>
  <c r="E30" i="28"/>
  <c r="D30" i="28"/>
  <c r="J25" i="28"/>
  <c r="I25" i="28"/>
  <c r="G25" i="28"/>
  <c r="F25" i="28"/>
  <c r="E25" i="28"/>
  <c r="D25" i="28"/>
  <c r="J21" i="28"/>
  <c r="I21" i="28"/>
  <c r="G21" i="28"/>
  <c r="F21" i="28"/>
  <c r="E21" i="28"/>
  <c r="D21" i="28"/>
  <c r="J17" i="28"/>
  <c r="I17" i="28"/>
  <c r="G17" i="28"/>
  <c r="F17" i="28"/>
  <c r="E17" i="28"/>
  <c r="D17" i="28"/>
  <c r="J10" i="28"/>
  <c r="J29" i="28" s="1"/>
  <c r="I10" i="28"/>
  <c r="I29" i="28" s="1"/>
  <c r="G10" i="28"/>
  <c r="F10" i="28"/>
  <c r="F29" i="28" s="1"/>
  <c r="E10" i="28"/>
  <c r="E29" i="28" s="1"/>
  <c r="D10" i="28"/>
  <c r="D29" i="28" s="1"/>
  <c r="I9" i="28"/>
  <c r="J9" i="28" s="1"/>
  <c r="K9" i="28" s="1"/>
  <c r="C9" i="28"/>
  <c r="K43" i="27"/>
  <c r="B43" i="27"/>
  <c r="K42" i="27"/>
  <c r="B42" i="27"/>
  <c r="K41" i="27"/>
  <c r="J41" i="27"/>
  <c r="P13" i="26" s="1"/>
  <c r="I41" i="27"/>
  <c r="H41" i="27"/>
  <c r="G41" i="27"/>
  <c r="B33" i="27"/>
  <c r="B32" i="27"/>
  <c r="K22" i="27"/>
  <c r="B22" i="27"/>
  <c r="K21" i="27"/>
  <c r="K20" i="27" s="1"/>
  <c r="B21" i="27"/>
  <c r="J20" i="27"/>
  <c r="I20" i="27"/>
  <c r="H20" i="27"/>
  <c r="G20" i="27"/>
  <c r="B11" i="27"/>
  <c r="B10" i="27"/>
  <c r="T18" i="26"/>
  <c r="S18" i="26"/>
  <c r="P18" i="26"/>
  <c r="I18" i="26"/>
  <c r="H18" i="26"/>
  <c r="G18" i="26"/>
  <c r="B18" i="26"/>
  <c r="C18" i="26" s="1"/>
  <c r="C16" i="26"/>
  <c r="T14" i="26"/>
  <c r="S14" i="26"/>
  <c r="P14" i="26"/>
  <c r="I14" i="26"/>
  <c r="H14" i="26"/>
  <c r="G14" i="26"/>
  <c r="C14" i="26"/>
  <c r="C15" i="26" s="1"/>
  <c r="O13" i="26"/>
  <c r="I13" i="26"/>
  <c r="G13" i="26"/>
  <c r="F13" i="26"/>
  <c r="C13" i="26"/>
  <c r="O12" i="26"/>
  <c r="O11" i="26" s="1"/>
  <c r="I12" i="26"/>
  <c r="G12" i="26"/>
  <c r="G11" i="26" s="1"/>
  <c r="F12" i="26"/>
  <c r="F11" i="26" s="1"/>
  <c r="T11" i="26"/>
  <c r="M11" i="26"/>
  <c r="K11" i="26"/>
  <c r="J11" i="26"/>
  <c r="Q10" i="26"/>
  <c r="P10" i="26"/>
  <c r="O10" i="26"/>
  <c r="D10" i="26"/>
  <c r="E10" i="26" s="1"/>
  <c r="F10" i="26" s="1"/>
  <c r="G10" i="26" s="1"/>
  <c r="H10" i="26" s="1"/>
  <c r="I10" i="26" s="1"/>
  <c r="J10" i="26" s="1"/>
  <c r="K10" i="26" s="1"/>
  <c r="H23" i="25"/>
  <c r="G23" i="25"/>
  <c r="G19" i="25" s="1"/>
  <c r="E23" i="25"/>
  <c r="D23" i="25"/>
  <c r="C23" i="25"/>
  <c r="H22" i="25"/>
  <c r="G22" i="25"/>
  <c r="E22" i="25"/>
  <c r="D22" i="25"/>
  <c r="C22" i="25"/>
  <c r="H21" i="25"/>
  <c r="G21" i="25"/>
  <c r="E21" i="25"/>
  <c r="D21" i="25"/>
  <c r="C21" i="25"/>
  <c r="H20" i="25"/>
  <c r="G20" i="25"/>
  <c r="E20" i="25"/>
  <c r="D20" i="25"/>
  <c r="D19" i="25" s="1"/>
  <c r="C20" i="25"/>
  <c r="H19" i="25"/>
  <c r="H18" i="25"/>
  <c r="G18" i="25"/>
  <c r="E18" i="25"/>
  <c r="D18" i="25"/>
  <c r="C18" i="25"/>
  <c r="H17" i="25"/>
  <c r="G17" i="25"/>
  <c r="E17" i="25"/>
  <c r="D17" i="25"/>
  <c r="C17" i="25"/>
  <c r="H16" i="25"/>
  <c r="G16" i="25"/>
  <c r="E16" i="25"/>
  <c r="D16" i="25"/>
  <c r="C16" i="25"/>
  <c r="F16" i="25" s="1"/>
  <c r="H15" i="25"/>
  <c r="G15" i="25"/>
  <c r="E15" i="25"/>
  <c r="E14" i="25" s="1"/>
  <c r="D15" i="25"/>
  <c r="C15" i="25"/>
  <c r="H14" i="25"/>
  <c r="G14" i="25"/>
  <c r="H13" i="25"/>
  <c r="H28" i="25" s="1"/>
  <c r="G13" i="25"/>
  <c r="E13" i="25"/>
  <c r="D13" i="25"/>
  <c r="D28" i="25" s="1"/>
  <c r="C13" i="25"/>
  <c r="H12" i="25"/>
  <c r="H27" i="25" s="1"/>
  <c r="G12" i="25"/>
  <c r="G27" i="25" s="1"/>
  <c r="E12" i="25"/>
  <c r="D12" i="25"/>
  <c r="C12" i="25"/>
  <c r="F12" i="25" s="1"/>
  <c r="H11" i="25"/>
  <c r="H26" i="25" s="1"/>
  <c r="G11" i="25"/>
  <c r="G26" i="25" s="1"/>
  <c r="E11" i="25"/>
  <c r="E26" i="25" s="1"/>
  <c r="D11" i="25"/>
  <c r="C11" i="25"/>
  <c r="F11" i="25" s="1"/>
  <c r="H10" i="25"/>
  <c r="H25" i="25" s="1"/>
  <c r="G10" i="25"/>
  <c r="G25" i="25" s="1"/>
  <c r="E10" i="25"/>
  <c r="E25" i="25" s="1"/>
  <c r="D10" i="25"/>
  <c r="D25" i="25" s="1"/>
  <c r="C10" i="25"/>
  <c r="G9" i="25"/>
  <c r="G8" i="25" s="1"/>
  <c r="E9" i="25"/>
  <c r="E14" i="24"/>
  <c r="C14" i="24"/>
  <c r="AH64" i="23"/>
  <c r="AG64" i="23"/>
  <c r="AF64" i="23"/>
  <c r="AE64" i="23"/>
  <c r="AB64" i="23"/>
  <c r="F12" i="24" s="1"/>
  <c r="W64" i="23"/>
  <c r="V64" i="23"/>
  <c r="U64" i="23"/>
  <c r="T64" i="23"/>
  <c r="S64" i="23"/>
  <c r="R64" i="23"/>
  <c r="F11" i="24" s="1"/>
  <c r="Q64" i="23"/>
  <c r="F10" i="24" s="1"/>
  <c r="O64" i="23"/>
  <c r="N64" i="23"/>
  <c r="M64" i="23"/>
  <c r="F9" i="24" s="1"/>
  <c r="K64" i="23"/>
  <c r="AH63" i="23"/>
  <c r="AG63" i="23"/>
  <c r="AF63" i="23"/>
  <c r="AE63" i="23"/>
  <c r="AB63" i="23"/>
  <c r="AA63" i="23"/>
  <c r="Y63" i="23"/>
  <c r="W63" i="23"/>
  <c r="V63" i="23"/>
  <c r="U63" i="23"/>
  <c r="T63" i="23"/>
  <c r="S63" i="23"/>
  <c r="R63" i="23"/>
  <c r="Q63" i="23"/>
  <c r="O63" i="23"/>
  <c r="N63" i="23"/>
  <c r="M63" i="23"/>
  <c r="K63" i="23"/>
  <c r="AH62" i="23"/>
  <c r="AG62" i="23"/>
  <c r="AF62" i="23"/>
  <c r="AE62" i="23"/>
  <c r="AB62" i="23"/>
  <c r="AA62" i="23"/>
  <c r="Y62" i="23"/>
  <c r="W62" i="23"/>
  <c r="V62" i="23"/>
  <c r="U62" i="23"/>
  <c r="T62" i="23"/>
  <c r="S62" i="23"/>
  <c r="R62" i="23"/>
  <c r="Q62" i="23"/>
  <c r="O62" i="23"/>
  <c r="N62" i="23"/>
  <c r="M62" i="23"/>
  <c r="K62" i="23"/>
  <c r="AH61" i="23"/>
  <c r="AG61" i="23"/>
  <c r="AF61" i="23"/>
  <c r="AE61" i="23"/>
  <c r="AB61" i="23"/>
  <c r="AA61" i="23"/>
  <c r="Y61" i="23"/>
  <c r="W61" i="23"/>
  <c r="V61" i="23"/>
  <c r="U61" i="23"/>
  <c r="T61" i="23"/>
  <c r="S61" i="23"/>
  <c r="R61" i="23"/>
  <c r="Q61" i="23"/>
  <c r="O61" i="23"/>
  <c r="N61" i="23"/>
  <c r="M61" i="23"/>
  <c r="K61" i="23"/>
  <c r="AH60" i="23"/>
  <c r="AG60" i="23"/>
  <c r="AF60" i="23"/>
  <c r="AE60" i="23"/>
  <c r="AB60" i="23"/>
  <c r="AA60" i="23"/>
  <c r="Y60" i="23"/>
  <c r="W60" i="23"/>
  <c r="V60" i="23"/>
  <c r="U60" i="23"/>
  <c r="T60" i="23"/>
  <c r="S60" i="23"/>
  <c r="R60" i="23"/>
  <c r="Q60" i="23"/>
  <c r="O60" i="23"/>
  <c r="N60" i="23"/>
  <c r="M60" i="23"/>
  <c r="K60" i="23"/>
  <c r="AA58" i="23"/>
  <c r="Y58" i="23" s="1"/>
  <c r="B58" i="23"/>
  <c r="AA57" i="23"/>
  <c r="Y57" i="23" s="1"/>
  <c r="B57" i="23"/>
  <c r="AA56" i="23"/>
  <c r="Y56" i="23" s="1"/>
  <c r="B56" i="23"/>
  <c r="AA55" i="23"/>
  <c r="Y55" i="23" s="1"/>
  <c r="B55" i="23"/>
  <c r="AA54" i="23"/>
  <c r="Y54" i="23" s="1"/>
  <c r="B54" i="23"/>
  <c r="AA53" i="23"/>
  <c r="Y53" i="23" s="1"/>
  <c r="B53" i="23"/>
  <c r="AA52" i="23"/>
  <c r="Y52" i="23" s="1"/>
  <c r="B52" i="23"/>
  <c r="AA51" i="23"/>
  <c r="Y51" i="23" s="1"/>
  <c r="B51" i="23"/>
  <c r="AA50" i="23"/>
  <c r="Y50" i="23" s="1"/>
  <c r="B50" i="23"/>
  <c r="AA49" i="23"/>
  <c r="Y49" i="23" s="1"/>
  <c r="B49" i="23"/>
  <c r="AA48" i="23"/>
  <c r="Y48" i="23" s="1"/>
  <c r="B48" i="23"/>
  <c r="AA47" i="23"/>
  <c r="Y47" i="23" s="1"/>
  <c r="B47" i="23"/>
  <c r="AA46" i="23"/>
  <c r="Y46" i="23" s="1"/>
  <c r="B46" i="23"/>
  <c r="AA45" i="23"/>
  <c r="Y45" i="23" s="1"/>
  <c r="B45" i="23"/>
  <c r="AA44" i="23"/>
  <c r="Y44" i="23" s="1"/>
  <c r="B44" i="23"/>
  <c r="AA43" i="23"/>
  <c r="Y43" i="23" s="1"/>
  <c r="B43" i="23"/>
  <c r="AA42" i="23"/>
  <c r="Y42" i="23" s="1"/>
  <c r="B42" i="23"/>
  <c r="AA41" i="23"/>
  <c r="Y41" i="23" s="1"/>
  <c r="B41" i="23"/>
  <c r="AA40" i="23"/>
  <c r="Y40" i="23" s="1"/>
  <c r="B40" i="23"/>
  <c r="AA39" i="23"/>
  <c r="Y39" i="23" s="1"/>
  <c r="B39" i="23"/>
  <c r="AA38" i="23"/>
  <c r="Y38" i="23" s="1"/>
  <c r="B38" i="23"/>
  <c r="AA37" i="23"/>
  <c r="Y37" i="23" s="1"/>
  <c r="B37" i="23"/>
  <c r="AA36" i="23"/>
  <c r="Y36" i="23" s="1"/>
  <c r="B36" i="23"/>
  <c r="AA35" i="23"/>
  <c r="Y35" i="23" s="1"/>
  <c r="B35" i="23"/>
  <c r="AA34" i="23"/>
  <c r="Y34" i="23" s="1"/>
  <c r="B34" i="23"/>
  <c r="AA33" i="23"/>
  <c r="Y33" i="23" s="1"/>
  <c r="B33" i="23"/>
  <c r="AA32" i="23"/>
  <c r="Y32" i="23" s="1"/>
  <c r="B32" i="23"/>
  <c r="AA31" i="23"/>
  <c r="Y31" i="23" s="1"/>
  <c r="B31" i="23"/>
  <c r="AA30" i="23"/>
  <c r="Y30" i="23" s="1"/>
  <c r="B30" i="23"/>
  <c r="AA29" i="23"/>
  <c r="Y29" i="23"/>
  <c r="B29" i="23"/>
  <c r="AA28" i="23"/>
  <c r="Y28" i="23" s="1"/>
  <c r="B28" i="23"/>
  <c r="AA27" i="23"/>
  <c r="Y27" i="23" s="1"/>
  <c r="B27" i="23"/>
  <c r="AA26" i="23"/>
  <c r="Y26" i="23" s="1"/>
  <c r="B26" i="23"/>
  <c r="AA25" i="23"/>
  <c r="Y25" i="23" s="1"/>
  <c r="B25" i="23"/>
  <c r="AA24" i="23"/>
  <c r="Y24" i="23" s="1"/>
  <c r="B24" i="23"/>
  <c r="AA23" i="23"/>
  <c r="Y23" i="23" s="1"/>
  <c r="B23" i="23"/>
  <c r="AA22" i="23"/>
  <c r="Y22" i="23" s="1"/>
  <c r="B22" i="23"/>
  <c r="AA21" i="23"/>
  <c r="Y21" i="23" s="1"/>
  <c r="B21" i="23"/>
  <c r="AA20" i="23"/>
  <c r="Y20" i="23" s="1"/>
  <c r="B20" i="23"/>
  <c r="AA19" i="23"/>
  <c r="Y19" i="23" s="1"/>
  <c r="B19" i="23"/>
  <c r="AA18" i="23"/>
  <c r="Y18" i="23" s="1"/>
  <c r="B18" i="23"/>
  <c r="AA17" i="23"/>
  <c r="Y17" i="23" s="1"/>
  <c r="B17" i="23"/>
  <c r="AA16" i="23"/>
  <c r="Y16" i="23" s="1"/>
  <c r="B16" i="23"/>
  <c r="AA15" i="23"/>
  <c r="Y15" i="23"/>
  <c r="B15" i="23"/>
  <c r="AA14" i="23"/>
  <c r="Y14" i="23" s="1"/>
  <c r="B14" i="23"/>
  <c r="AA13" i="23"/>
  <c r="Y13" i="23" s="1"/>
  <c r="B13" i="23"/>
  <c r="AA12" i="23"/>
  <c r="Y12" i="23" s="1"/>
  <c r="B12" i="23"/>
  <c r="AA11" i="23"/>
  <c r="Y11" i="23" s="1"/>
  <c r="B11" i="23"/>
  <c r="AA10" i="23"/>
  <c r="Y10" i="23" s="1"/>
  <c r="B10" i="23"/>
  <c r="AA9" i="23"/>
  <c r="Y9" i="23" s="1"/>
  <c r="B9" i="23"/>
  <c r="C8" i="23"/>
  <c r="D8" i="23" s="1"/>
  <c r="E8" i="23" s="1"/>
  <c r="F8" i="23" s="1"/>
  <c r="G8" i="23" s="1"/>
  <c r="H8" i="23" s="1"/>
  <c r="I8" i="23" s="1"/>
  <c r="J8" i="23" s="1"/>
  <c r="K8" i="23" s="1"/>
  <c r="L8" i="23" s="1"/>
  <c r="M8" i="23" s="1"/>
  <c r="N8" i="23" s="1"/>
  <c r="O8" i="23" s="1"/>
  <c r="P8" i="23" s="1"/>
  <c r="Q8" i="23" s="1"/>
  <c r="R8" i="23" s="1"/>
  <c r="S8" i="23" s="1"/>
  <c r="T8" i="23" s="1"/>
  <c r="U8" i="23" s="1"/>
  <c r="V8" i="23" s="1"/>
  <c r="W8" i="23" s="1"/>
  <c r="X8" i="23" s="1"/>
  <c r="Y8" i="23" s="1"/>
  <c r="Z8" i="23" s="1"/>
  <c r="AA8" i="23" s="1"/>
  <c r="AB8" i="23" s="1"/>
  <c r="AC8" i="23" s="1"/>
  <c r="AD8" i="23" s="1"/>
  <c r="AE8" i="23" s="1"/>
  <c r="AF8" i="23" s="1"/>
  <c r="AG8" i="23" s="1"/>
  <c r="AH8" i="23" s="1"/>
  <c r="AI8" i="23" s="1"/>
  <c r="AB3" i="23"/>
  <c r="AB2" i="23"/>
  <c r="S2" i="23"/>
  <c r="AB1" i="23"/>
  <c r="AO64" i="22"/>
  <c r="AN64" i="22"/>
  <c r="AM64" i="22"/>
  <c r="AL64" i="22"/>
  <c r="AD64" i="22"/>
  <c r="D12" i="24" s="1"/>
  <c r="AC64" i="22"/>
  <c r="Z64" i="22"/>
  <c r="Y64" i="22"/>
  <c r="V64" i="22"/>
  <c r="U64" i="22"/>
  <c r="T64" i="22"/>
  <c r="R64" i="22"/>
  <c r="D11" i="24" s="1"/>
  <c r="Q64" i="22"/>
  <c r="D10" i="24" s="1"/>
  <c r="O64" i="22"/>
  <c r="N64" i="22"/>
  <c r="M64" i="22"/>
  <c r="D9" i="24" s="1"/>
  <c r="K64" i="22"/>
  <c r="AO63" i="22"/>
  <c r="AN63" i="22"/>
  <c r="AM63" i="22"/>
  <c r="AL63" i="22"/>
  <c r="AH63" i="22"/>
  <c r="AF63" i="22"/>
  <c r="AD63" i="22"/>
  <c r="AC63" i="22"/>
  <c r="Z63" i="22"/>
  <c r="Y63" i="22"/>
  <c r="X63" i="22"/>
  <c r="V63" i="22"/>
  <c r="U63" i="22"/>
  <c r="T63" i="22"/>
  <c r="R63" i="22"/>
  <c r="Q63" i="22"/>
  <c r="O63" i="22"/>
  <c r="N63" i="22"/>
  <c r="M63" i="22"/>
  <c r="K63" i="22"/>
  <c r="AO62" i="22"/>
  <c r="AN62" i="22"/>
  <c r="AM62" i="22"/>
  <c r="AL62" i="22"/>
  <c r="AH62" i="22"/>
  <c r="AF62" i="22"/>
  <c r="AD62" i="22"/>
  <c r="AC62" i="22"/>
  <c r="Z62" i="22"/>
  <c r="Y62" i="22"/>
  <c r="X62" i="22"/>
  <c r="V62" i="22"/>
  <c r="U62" i="22"/>
  <c r="T62" i="22"/>
  <c r="R62" i="22"/>
  <c r="Q62" i="22"/>
  <c r="O62" i="22"/>
  <c r="N62" i="22"/>
  <c r="M62" i="22"/>
  <c r="K62" i="22"/>
  <c r="AO61" i="22"/>
  <c r="AN61" i="22"/>
  <c r="AM61" i="22"/>
  <c r="AL61" i="22"/>
  <c r="AH61" i="22"/>
  <c r="AF61" i="22"/>
  <c r="AD61" i="22"/>
  <c r="AC61" i="22"/>
  <c r="Z61" i="22"/>
  <c r="Y61" i="22"/>
  <c r="X61" i="22"/>
  <c r="V61" i="22"/>
  <c r="U61" i="22"/>
  <c r="T61" i="22"/>
  <c r="R61" i="22"/>
  <c r="Q61" i="22"/>
  <c r="O61" i="22"/>
  <c r="N61" i="22"/>
  <c r="M61" i="22"/>
  <c r="K61" i="22"/>
  <c r="AO60" i="22"/>
  <c r="AN60" i="22"/>
  <c r="AM60" i="22"/>
  <c r="AL60" i="22"/>
  <c r="AH60" i="22"/>
  <c r="AF60" i="22"/>
  <c r="AD60" i="22"/>
  <c r="AC60" i="22"/>
  <c r="Z60" i="22"/>
  <c r="Y60" i="22"/>
  <c r="X60" i="22"/>
  <c r="V60" i="22"/>
  <c r="U60" i="22"/>
  <c r="T60" i="22"/>
  <c r="R60" i="22"/>
  <c r="Q60" i="22"/>
  <c r="O60" i="22"/>
  <c r="N60" i="22"/>
  <c r="M60" i="22"/>
  <c r="K60" i="22"/>
  <c r="AF58" i="22"/>
  <c r="AH58" i="22" s="1"/>
  <c r="X58" i="22"/>
  <c r="B58" i="22"/>
  <c r="AF57" i="22"/>
  <c r="AH57" i="22" s="1"/>
  <c r="X57" i="22"/>
  <c r="B57" i="22"/>
  <c r="AF56" i="22"/>
  <c r="AH56" i="22" s="1"/>
  <c r="X56" i="22"/>
  <c r="B56" i="22"/>
  <c r="AF55" i="22"/>
  <c r="AH55" i="22" s="1"/>
  <c r="X55" i="22"/>
  <c r="B55" i="22"/>
  <c r="AF54" i="22"/>
  <c r="AH54" i="22" s="1"/>
  <c r="X54" i="22"/>
  <c r="B54" i="22"/>
  <c r="AF53" i="22"/>
  <c r="AH53" i="22" s="1"/>
  <c r="X53" i="22"/>
  <c r="B53" i="22"/>
  <c r="AF52" i="22"/>
  <c r="AH52" i="22" s="1"/>
  <c r="X52" i="22"/>
  <c r="B52" i="22"/>
  <c r="AF51" i="22"/>
  <c r="AH51" i="22" s="1"/>
  <c r="X51" i="22"/>
  <c r="B51" i="22"/>
  <c r="AF50" i="22"/>
  <c r="AH50" i="22" s="1"/>
  <c r="X50" i="22"/>
  <c r="B50" i="22"/>
  <c r="AF49" i="22"/>
  <c r="AH49" i="22" s="1"/>
  <c r="X49" i="22"/>
  <c r="B49" i="22"/>
  <c r="AH48" i="22"/>
  <c r="AF48" i="22"/>
  <c r="X48" i="22"/>
  <c r="B48" i="22"/>
  <c r="AF47" i="22"/>
  <c r="AH47" i="22" s="1"/>
  <c r="X47" i="22"/>
  <c r="B47" i="22"/>
  <c r="AF46" i="22"/>
  <c r="AH46" i="22" s="1"/>
  <c r="X46" i="22"/>
  <c r="B46" i="22"/>
  <c r="AF45" i="22"/>
  <c r="AH45" i="22" s="1"/>
  <c r="X45" i="22"/>
  <c r="B45" i="22"/>
  <c r="AF44" i="22"/>
  <c r="AH44" i="22" s="1"/>
  <c r="X44" i="22"/>
  <c r="B44" i="22"/>
  <c r="AF43" i="22"/>
  <c r="AH43" i="22" s="1"/>
  <c r="X43" i="22"/>
  <c r="B43" i="22"/>
  <c r="AF42" i="22"/>
  <c r="AH42" i="22" s="1"/>
  <c r="X42" i="22"/>
  <c r="B42" i="22"/>
  <c r="AF41" i="22"/>
  <c r="AH41" i="22" s="1"/>
  <c r="X41" i="22"/>
  <c r="B41" i="22"/>
  <c r="AF40" i="22"/>
  <c r="AH40" i="22" s="1"/>
  <c r="X40" i="22"/>
  <c r="B40" i="22"/>
  <c r="AF39" i="22"/>
  <c r="AH39" i="22" s="1"/>
  <c r="X39" i="22"/>
  <c r="B39" i="22"/>
  <c r="AF38" i="22"/>
  <c r="AH38" i="22" s="1"/>
  <c r="X38" i="22"/>
  <c r="B38" i="22"/>
  <c r="AF37" i="22"/>
  <c r="AH37" i="22" s="1"/>
  <c r="X37" i="22"/>
  <c r="B37" i="22"/>
  <c r="AF36" i="22"/>
  <c r="AH36" i="22" s="1"/>
  <c r="X36" i="22"/>
  <c r="B36" i="22"/>
  <c r="AF35" i="22"/>
  <c r="AH35" i="22" s="1"/>
  <c r="X35" i="22"/>
  <c r="B35" i="22"/>
  <c r="AF34" i="22"/>
  <c r="AH34" i="22" s="1"/>
  <c r="X34" i="22"/>
  <c r="B34" i="22"/>
  <c r="AF33" i="22"/>
  <c r="AH33" i="22" s="1"/>
  <c r="X33" i="22"/>
  <c r="B33" i="22"/>
  <c r="AF32" i="22"/>
  <c r="AH32" i="22" s="1"/>
  <c r="X32" i="22"/>
  <c r="B32" i="22"/>
  <c r="AF31" i="22"/>
  <c r="AH31" i="22" s="1"/>
  <c r="X31" i="22"/>
  <c r="B31" i="22"/>
  <c r="AF30" i="22"/>
  <c r="AH30" i="22" s="1"/>
  <c r="X30" i="22"/>
  <c r="B30" i="22"/>
  <c r="AF29" i="22"/>
  <c r="AH29" i="22" s="1"/>
  <c r="X29" i="22"/>
  <c r="B29" i="22"/>
  <c r="AF28" i="22"/>
  <c r="AH28" i="22" s="1"/>
  <c r="X28" i="22"/>
  <c r="B28" i="22"/>
  <c r="AF27" i="22"/>
  <c r="AH27" i="22" s="1"/>
  <c r="X27" i="22"/>
  <c r="B27" i="22"/>
  <c r="AF26" i="22"/>
  <c r="AH26" i="22" s="1"/>
  <c r="X26" i="22"/>
  <c r="B26" i="22"/>
  <c r="AF25" i="22"/>
  <c r="AH25" i="22" s="1"/>
  <c r="X25" i="22"/>
  <c r="B25" i="22"/>
  <c r="AF24" i="22"/>
  <c r="AH24" i="22" s="1"/>
  <c r="X24" i="22"/>
  <c r="B24" i="22"/>
  <c r="AF23" i="22"/>
  <c r="AH23" i="22" s="1"/>
  <c r="X23" i="22"/>
  <c r="B23" i="22"/>
  <c r="AF22" i="22"/>
  <c r="AH22" i="22" s="1"/>
  <c r="X22" i="22"/>
  <c r="B22" i="22"/>
  <c r="AF21" i="22"/>
  <c r="AH21" i="22" s="1"/>
  <c r="X21" i="22"/>
  <c r="B21" i="22"/>
  <c r="AF20" i="22"/>
  <c r="AH20" i="22" s="1"/>
  <c r="X20" i="22"/>
  <c r="B20" i="22"/>
  <c r="AF19" i="22"/>
  <c r="AH19" i="22" s="1"/>
  <c r="X19" i="22"/>
  <c r="B19" i="22"/>
  <c r="AF18" i="22"/>
  <c r="AH18" i="22" s="1"/>
  <c r="X18" i="22"/>
  <c r="B18" i="22"/>
  <c r="AF17" i="22"/>
  <c r="AH17" i="22" s="1"/>
  <c r="X17" i="22"/>
  <c r="B17" i="22"/>
  <c r="AF16" i="22"/>
  <c r="AH16" i="22" s="1"/>
  <c r="X16" i="22"/>
  <c r="B16" i="22"/>
  <c r="AF15" i="22"/>
  <c r="AH15" i="22" s="1"/>
  <c r="X15" i="22"/>
  <c r="B15" i="22"/>
  <c r="AF14" i="22"/>
  <c r="AH14" i="22" s="1"/>
  <c r="X14" i="22"/>
  <c r="B14" i="22"/>
  <c r="AF13" i="22"/>
  <c r="AH13" i="22" s="1"/>
  <c r="X13" i="22"/>
  <c r="B13" i="22"/>
  <c r="AF12" i="22"/>
  <c r="AH12" i="22" s="1"/>
  <c r="X12" i="22"/>
  <c r="B12" i="22"/>
  <c r="AF11" i="22"/>
  <c r="AH11" i="22" s="1"/>
  <c r="X11" i="22"/>
  <c r="B11" i="22"/>
  <c r="AF10" i="22"/>
  <c r="AH10" i="22" s="1"/>
  <c r="X10" i="22"/>
  <c r="B10" i="22"/>
  <c r="AF9" i="22"/>
  <c r="X9" i="22"/>
  <c r="B9" i="22"/>
  <c r="E8" i="22"/>
  <c r="F8" i="22" s="1"/>
  <c r="G8" i="22" s="1"/>
  <c r="H8" i="22" s="1"/>
  <c r="I8" i="22" s="1"/>
  <c r="J8" i="22" s="1"/>
  <c r="K8" i="22" s="1"/>
  <c r="L8" i="22" s="1"/>
  <c r="M8" i="22" s="1"/>
  <c r="N8" i="22" s="1"/>
  <c r="O8" i="22" s="1"/>
  <c r="P8" i="22" s="1"/>
  <c r="Q8" i="22" s="1"/>
  <c r="R8" i="22" s="1"/>
  <c r="S8" i="22" s="1"/>
  <c r="T8" i="22" s="1"/>
  <c r="U8" i="22" s="1"/>
  <c r="V8" i="22" s="1"/>
  <c r="W8" i="22" s="1"/>
  <c r="X8" i="22" s="1"/>
  <c r="Y8" i="22" s="1"/>
  <c r="Z8" i="22" s="1"/>
  <c r="AA8" i="22" s="1"/>
  <c r="AB8" i="22" s="1"/>
  <c r="AC8" i="22" s="1"/>
  <c r="AD8" i="22" s="1"/>
  <c r="AE8" i="22" s="1"/>
  <c r="AF8" i="22" s="1"/>
  <c r="AG8" i="22" s="1"/>
  <c r="AH8" i="22" s="1"/>
  <c r="AI8" i="22" s="1"/>
  <c r="AJ8" i="22" s="1"/>
  <c r="AK8" i="22" s="1"/>
  <c r="AL8" i="22" s="1"/>
  <c r="AM8" i="22" s="1"/>
  <c r="AN8" i="22" s="1"/>
  <c r="C8" i="22"/>
  <c r="AJ3" i="22"/>
  <c r="AJ2" i="22"/>
  <c r="AJ1" i="22"/>
  <c r="B54" i="21"/>
  <c r="B53" i="21"/>
  <c r="U52" i="21"/>
  <c r="P52" i="21"/>
  <c r="O52" i="21"/>
  <c r="B50" i="21"/>
  <c r="B49" i="21"/>
  <c r="U48" i="21"/>
  <c r="P48" i="21"/>
  <c r="O48" i="21"/>
  <c r="B46" i="21"/>
  <c r="B45" i="21"/>
  <c r="U44" i="21"/>
  <c r="P44" i="21"/>
  <c r="O44" i="21"/>
  <c r="L44" i="21"/>
  <c r="B42" i="21"/>
  <c r="B41" i="21"/>
  <c r="U40" i="21"/>
  <c r="P40" i="21"/>
  <c r="P39" i="21" s="1"/>
  <c r="O40" i="21"/>
  <c r="O39" i="21" s="1"/>
  <c r="L40" i="21"/>
  <c r="U39" i="21"/>
  <c r="U56" i="21" s="1"/>
  <c r="L39" i="21"/>
  <c r="L56" i="21" s="1"/>
  <c r="V38" i="21"/>
  <c r="D38" i="21"/>
  <c r="E38" i="21" s="1"/>
  <c r="F38" i="21" s="1"/>
  <c r="G38" i="21" s="1"/>
  <c r="H38" i="21" s="1"/>
  <c r="I38" i="21" s="1"/>
  <c r="J38" i="21" s="1"/>
  <c r="K38" i="21" s="1"/>
  <c r="L38" i="21" s="1"/>
  <c r="M38" i="21" s="1"/>
  <c r="N38" i="21" s="1"/>
  <c r="O38" i="21" s="1"/>
  <c r="P38" i="21" s="1"/>
  <c r="Q38" i="21" s="1"/>
  <c r="C38" i="21"/>
  <c r="V25" i="21"/>
  <c r="V23" i="21" s="1"/>
  <c r="P25" i="21"/>
  <c r="V24" i="21"/>
  <c r="P24" i="21"/>
  <c r="B24" i="21"/>
  <c r="Y23" i="21"/>
  <c r="X23" i="21"/>
  <c r="W23" i="21"/>
  <c r="U23" i="21"/>
  <c r="S23" i="21"/>
  <c r="R23" i="21"/>
  <c r="Q23" i="21"/>
  <c r="P23" i="21"/>
  <c r="O23" i="21"/>
  <c r="N23" i="21"/>
  <c r="V21" i="21"/>
  <c r="V19" i="21" s="1"/>
  <c r="P21" i="21"/>
  <c r="B21" i="21"/>
  <c r="V20" i="21"/>
  <c r="P20" i="21"/>
  <c r="B20" i="21"/>
  <c r="Y19" i="21"/>
  <c r="X19" i="21"/>
  <c r="W19" i="21"/>
  <c r="U19" i="21"/>
  <c r="S19" i="21"/>
  <c r="R19" i="21"/>
  <c r="Q19" i="21"/>
  <c r="O19" i="21"/>
  <c r="N19" i="21"/>
  <c r="B17" i="21"/>
  <c r="B16" i="21"/>
  <c r="U15" i="21"/>
  <c r="O15" i="21"/>
  <c r="N15" i="21"/>
  <c r="N10" i="21" s="1"/>
  <c r="K15" i="21"/>
  <c r="V13" i="21"/>
  <c r="V11" i="21" s="1"/>
  <c r="V10" i="21" s="1"/>
  <c r="V27" i="21" s="1"/>
  <c r="P13" i="21"/>
  <c r="B13" i="21"/>
  <c r="V12" i="21"/>
  <c r="P12" i="21"/>
  <c r="P11" i="21" s="1"/>
  <c r="P10" i="21" s="1"/>
  <c r="B12" i="21"/>
  <c r="Y11" i="21"/>
  <c r="X11" i="21"/>
  <c r="X10" i="21" s="1"/>
  <c r="X27" i="21" s="1"/>
  <c r="W11" i="21"/>
  <c r="U11" i="21"/>
  <c r="U10" i="21" s="1"/>
  <c r="S11" i="21"/>
  <c r="S10" i="21" s="1"/>
  <c r="S27" i="21" s="1"/>
  <c r="R11" i="21"/>
  <c r="Q11" i="21"/>
  <c r="O11" i="21"/>
  <c r="O10" i="21" s="1"/>
  <c r="O27" i="21" s="1"/>
  <c r="N11" i="21"/>
  <c r="K11" i="21"/>
  <c r="K10" i="21" s="1"/>
  <c r="K27" i="21" s="1"/>
  <c r="Y10" i="21"/>
  <c r="W10" i="21"/>
  <c r="W27" i="21" s="1"/>
  <c r="R10" i="21"/>
  <c r="Q10" i="21"/>
  <c r="Q27" i="21" s="1"/>
  <c r="C9" i="21"/>
  <c r="D9" i="21" s="1"/>
  <c r="E9" i="21" s="1"/>
  <c r="F9" i="21" s="1"/>
  <c r="G9" i="21" s="1"/>
  <c r="H9" i="21" s="1"/>
  <c r="I9" i="21" s="1"/>
  <c r="J9" i="21" s="1"/>
  <c r="K9" i="21" s="1"/>
  <c r="L9" i="21" s="1"/>
  <c r="M9" i="21" s="1"/>
  <c r="N9" i="21" s="1"/>
  <c r="O9" i="21" s="1"/>
  <c r="P9" i="21" s="1"/>
  <c r="Q9" i="21" s="1"/>
  <c r="R9" i="21" s="1"/>
  <c r="S9" i="21" s="1"/>
  <c r="T9" i="21" s="1"/>
  <c r="U9" i="21" s="1"/>
  <c r="V9" i="21" s="1"/>
  <c r="W9" i="21" s="1"/>
  <c r="X9" i="21" s="1"/>
  <c r="Y9" i="21" s="1"/>
  <c r="Z9" i="21" s="1"/>
  <c r="R57" i="20"/>
  <c r="B55" i="20"/>
  <c r="B54" i="20"/>
  <c r="AA53" i="20"/>
  <c r="Q53" i="20"/>
  <c r="P53" i="20"/>
  <c r="O53" i="20"/>
  <c r="B51" i="20"/>
  <c r="B50" i="20"/>
  <c r="AA49" i="20"/>
  <c r="Q49" i="20"/>
  <c r="P49" i="20"/>
  <c r="O49" i="20"/>
  <c r="B47" i="20"/>
  <c r="B46" i="20"/>
  <c r="AA45" i="20"/>
  <c r="Q45" i="20"/>
  <c r="Q40" i="20" s="1"/>
  <c r="Q57" i="20" s="1"/>
  <c r="P45" i="20"/>
  <c r="O45" i="20"/>
  <c r="L45" i="20"/>
  <c r="B43" i="20"/>
  <c r="B42" i="20"/>
  <c r="AA41" i="20"/>
  <c r="AA40" i="20" s="1"/>
  <c r="AA57" i="20" s="1"/>
  <c r="Q41" i="20"/>
  <c r="P41" i="20"/>
  <c r="O41" i="20"/>
  <c r="L41" i="20"/>
  <c r="U40" i="20"/>
  <c r="U57" i="20" s="1"/>
  <c r="S40" i="20"/>
  <c r="S57" i="20" s="1"/>
  <c r="R40" i="20"/>
  <c r="P40" i="20"/>
  <c r="P57" i="20" s="1"/>
  <c r="L40" i="20"/>
  <c r="L57" i="20" s="1"/>
  <c r="W39" i="20"/>
  <c r="AA39" i="20" s="1"/>
  <c r="AB39" i="20" s="1"/>
  <c r="E39" i="20"/>
  <c r="F39" i="20" s="1"/>
  <c r="G39" i="20" s="1"/>
  <c r="H39" i="20" s="1"/>
  <c r="I39" i="20" s="1"/>
  <c r="J39" i="20" s="1"/>
  <c r="K39" i="20" s="1"/>
  <c r="L39" i="20" s="1"/>
  <c r="M39" i="20" s="1"/>
  <c r="N39" i="20" s="1"/>
  <c r="O39" i="20" s="1"/>
  <c r="P39" i="20" s="1"/>
  <c r="Q39" i="20" s="1"/>
  <c r="R39" i="20" s="1"/>
  <c r="S39" i="20" s="1"/>
  <c r="C39" i="20"/>
  <c r="D39" i="20" s="1"/>
  <c r="T29" i="20"/>
  <c r="AB27" i="20"/>
  <c r="AB25" i="20" s="1"/>
  <c r="V27" i="20"/>
  <c r="B27" i="20"/>
  <c r="AB26" i="20"/>
  <c r="V26" i="20"/>
  <c r="V25" i="20" s="1"/>
  <c r="B26" i="20"/>
  <c r="AE25" i="20"/>
  <c r="AD25" i="20"/>
  <c r="AC25" i="20"/>
  <c r="AA25" i="20"/>
  <c r="Y25" i="20"/>
  <c r="X25" i="20"/>
  <c r="W25" i="20"/>
  <c r="P25" i="20"/>
  <c r="O25" i="20"/>
  <c r="N25" i="20"/>
  <c r="AB23" i="20"/>
  <c r="AB21" i="20" s="1"/>
  <c r="V23" i="20"/>
  <c r="B23" i="20"/>
  <c r="AB22" i="20"/>
  <c r="V22" i="20"/>
  <c r="V21" i="20" s="1"/>
  <c r="B22" i="20"/>
  <c r="AE21" i="20"/>
  <c r="AD21" i="20"/>
  <c r="AC21" i="20"/>
  <c r="AA21" i="20"/>
  <c r="Y21" i="20"/>
  <c r="X21" i="20"/>
  <c r="W21" i="20"/>
  <c r="P21" i="20"/>
  <c r="O21" i="20"/>
  <c r="N21" i="20"/>
  <c r="AB19" i="20"/>
  <c r="AB17" i="20" s="1"/>
  <c r="AB12" i="20" s="1"/>
  <c r="AB29" i="20" s="1"/>
  <c r="V19" i="20"/>
  <c r="B19" i="20"/>
  <c r="AB18" i="20"/>
  <c r="V18" i="20"/>
  <c r="V17" i="20" s="1"/>
  <c r="B18" i="20"/>
  <c r="AE17" i="20"/>
  <c r="AD17" i="20"/>
  <c r="AC17" i="20"/>
  <c r="AA17" i="20"/>
  <c r="Y17" i="20"/>
  <c r="X17" i="20"/>
  <c r="W17" i="20"/>
  <c r="P17" i="20"/>
  <c r="O17" i="20"/>
  <c r="N17" i="20"/>
  <c r="N12" i="20" s="1"/>
  <c r="K17" i="20"/>
  <c r="AB15" i="20"/>
  <c r="V15" i="20"/>
  <c r="B15" i="20"/>
  <c r="AB14" i="20"/>
  <c r="AB13" i="20" s="1"/>
  <c r="V14" i="20"/>
  <c r="V13" i="20" s="1"/>
  <c r="B14" i="20"/>
  <c r="AE13" i="20"/>
  <c r="AD13" i="20"/>
  <c r="AD12" i="20" s="1"/>
  <c r="AD29" i="20" s="1"/>
  <c r="AC13" i="20"/>
  <c r="AA13" i="20"/>
  <c r="Y13" i="20"/>
  <c r="X13" i="20"/>
  <c r="W13" i="20"/>
  <c r="P13" i="20"/>
  <c r="O13" i="20"/>
  <c r="O12" i="20" s="1"/>
  <c r="O29" i="20" s="1"/>
  <c r="N13" i="20"/>
  <c r="K13" i="20"/>
  <c r="AE12" i="20"/>
  <c r="AE29" i="20" s="1"/>
  <c r="X12" i="20"/>
  <c r="X29" i="20" s="1"/>
  <c r="W12" i="20"/>
  <c r="W29" i="20" s="1"/>
  <c r="T12" i="20"/>
  <c r="R12" i="20"/>
  <c r="R29" i="20" s="1"/>
  <c r="Q12" i="20"/>
  <c r="Q29" i="20" s="1"/>
  <c r="K12" i="20"/>
  <c r="K29" i="20" s="1"/>
  <c r="V11" i="20"/>
  <c r="W11" i="20" s="1"/>
  <c r="X11" i="20" s="1"/>
  <c r="Y11" i="20" s="1"/>
  <c r="Z11" i="20" s="1"/>
  <c r="AB11" i="20" s="1"/>
  <c r="AC11" i="20" s="1"/>
  <c r="AD11" i="20" s="1"/>
  <c r="AE11" i="20" s="1"/>
  <c r="AF11" i="20" s="1"/>
  <c r="C11" i="20"/>
  <c r="D11" i="20" s="1"/>
  <c r="E11" i="20" s="1"/>
  <c r="F11" i="20" s="1"/>
  <c r="G11" i="20" s="1"/>
  <c r="H11" i="20" s="1"/>
  <c r="I11" i="20" s="1"/>
  <c r="J11" i="20" s="1"/>
  <c r="K11" i="20" s="1"/>
  <c r="L11" i="20" s="1"/>
  <c r="M11" i="20" s="1"/>
  <c r="N11" i="20" s="1"/>
  <c r="O11" i="20" s="1"/>
  <c r="P11" i="20" s="1"/>
  <c r="Q11" i="20" s="1"/>
  <c r="R11" i="20" s="1"/>
  <c r="W21" i="19"/>
  <c r="U21" i="19"/>
  <c r="T21" i="19"/>
  <c r="R21" i="19"/>
  <c r="B19" i="19"/>
  <c r="B18" i="19"/>
  <c r="B17" i="19"/>
  <c r="B16" i="19"/>
  <c r="B15" i="19"/>
  <c r="B14" i="19"/>
  <c r="B13" i="19"/>
  <c r="B12" i="19"/>
  <c r="B11" i="19"/>
  <c r="B10" i="19"/>
  <c r="E9" i="19"/>
  <c r="F9" i="19" s="1"/>
  <c r="G9" i="19" s="1"/>
  <c r="H9" i="19" s="1"/>
  <c r="I9" i="19" s="1"/>
  <c r="J9" i="19" s="1"/>
  <c r="K9" i="19" s="1"/>
  <c r="L9" i="19" s="1"/>
  <c r="M9" i="19" s="1"/>
  <c r="N9" i="19" s="1"/>
  <c r="O9" i="19" s="1"/>
  <c r="P9" i="19" s="1"/>
  <c r="Q9" i="19" s="1"/>
  <c r="R9" i="19" s="1"/>
  <c r="S9" i="19" s="1"/>
  <c r="T9" i="19" s="1"/>
  <c r="U9" i="19" s="1"/>
  <c r="V9" i="19" s="1"/>
  <c r="W9" i="19" s="1"/>
  <c r="X9" i="19" s="1"/>
  <c r="D9" i="19"/>
  <c r="C9" i="19"/>
  <c r="X21" i="18"/>
  <c r="V21" i="18"/>
  <c r="U21" i="18"/>
  <c r="T21" i="18"/>
  <c r="R21" i="18"/>
  <c r="B19" i="18"/>
  <c r="B18" i="18"/>
  <c r="B17" i="18"/>
  <c r="B16" i="18"/>
  <c r="B15" i="18"/>
  <c r="B14" i="18"/>
  <c r="B13" i="18"/>
  <c r="B12" i="18"/>
  <c r="B11" i="18"/>
  <c r="B10" i="18"/>
  <c r="C9" i="18"/>
  <c r="D9" i="18" s="1"/>
  <c r="E9" i="18" s="1"/>
  <c r="F9" i="18" s="1"/>
  <c r="G9" i="18" s="1"/>
  <c r="H9" i="18" s="1"/>
  <c r="I9" i="18" s="1"/>
  <c r="J9" i="18" s="1"/>
  <c r="K9" i="18" s="1"/>
  <c r="L9" i="18" s="1"/>
  <c r="M9" i="18" s="1"/>
  <c r="N9" i="18" s="1"/>
  <c r="O9" i="18" s="1"/>
  <c r="P9" i="18" s="1"/>
  <c r="Q9" i="18" s="1"/>
  <c r="R9" i="18" s="1"/>
  <c r="S9" i="18" s="1"/>
  <c r="T9" i="18" s="1"/>
  <c r="U9" i="18" s="1"/>
  <c r="V9" i="18" s="1"/>
  <c r="W9" i="18" s="1"/>
  <c r="X9" i="18" s="1"/>
  <c r="Y9" i="18" s="1"/>
  <c r="AK22" i="17"/>
  <c r="AJ22" i="17"/>
  <c r="AI22" i="17"/>
  <c r="AG22" i="17"/>
  <c r="AC22" i="17"/>
  <c r="AA22" i="17"/>
  <c r="Y22" i="17"/>
  <c r="X22" i="17"/>
  <c r="W22" i="17"/>
  <c r="U22" i="17"/>
  <c r="T22" i="17"/>
  <c r="R22" i="17"/>
  <c r="AH20" i="17"/>
  <c r="Z20" i="17"/>
  <c r="AB20" i="17" s="1"/>
  <c r="V20" i="17"/>
  <c r="B20" i="17"/>
  <c r="AH19" i="17"/>
  <c r="AB19" i="17"/>
  <c r="Z19" i="17"/>
  <c r="V19" i="17"/>
  <c r="B19" i="17"/>
  <c r="AH18" i="17"/>
  <c r="Z18" i="17"/>
  <c r="AB18" i="17" s="1"/>
  <c r="V18" i="17"/>
  <c r="B18" i="17"/>
  <c r="AH17" i="17"/>
  <c r="AB17" i="17"/>
  <c r="Z17" i="17"/>
  <c r="V17" i="17"/>
  <c r="B17" i="17"/>
  <c r="AH16" i="17"/>
  <c r="Z16" i="17"/>
  <c r="AB16" i="17" s="1"/>
  <c r="V16" i="17"/>
  <c r="B16" i="17"/>
  <c r="AH15" i="17"/>
  <c r="Z15" i="17"/>
  <c r="AB15" i="17" s="1"/>
  <c r="V15" i="17"/>
  <c r="B15" i="17"/>
  <c r="AH14" i="17"/>
  <c r="Z14" i="17"/>
  <c r="AB14" i="17" s="1"/>
  <c r="V14" i="17"/>
  <c r="B14" i="17"/>
  <c r="AH13" i="17"/>
  <c r="AB13" i="17"/>
  <c r="Z13" i="17"/>
  <c r="V13" i="17"/>
  <c r="B13" i="17"/>
  <c r="AH12" i="17"/>
  <c r="Z12" i="17"/>
  <c r="AB12" i="17" s="1"/>
  <c r="V12" i="17"/>
  <c r="B12" i="17"/>
  <c r="AH11" i="17"/>
  <c r="AB11" i="17"/>
  <c r="Z11" i="17"/>
  <c r="V11" i="17"/>
  <c r="B11" i="17"/>
  <c r="D10" i="17"/>
  <c r="E10" i="17" s="1"/>
  <c r="F10" i="17" s="1"/>
  <c r="G10" i="17" s="1"/>
  <c r="H10" i="17" s="1"/>
  <c r="I10" i="17" s="1"/>
  <c r="J10" i="17" s="1"/>
  <c r="K10" i="17" s="1"/>
  <c r="L10" i="17" s="1"/>
  <c r="M10" i="17" s="1"/>
  <c r="N10" i="17" s="1"/>
  <c r="O10" i="17" s="1"/>
  <c r="P10" i="17" s="1"/>
  <c r="Q10" i="17" s="1"/>
  <c r="R10" i="17" s="1"/>
  <c r="S10" i="17" s="1"/>
  <c r="T10" i="17" s="1"/>
  <c r="U10" i="17" s="1"/>
  <c r="V10" i="17" s="1"/>
  <c r="W10" i="17" s="1"/>
  <c r="X10" i="17" s="1"/>
  <c r="Y10" i="17" s="1"/>
  <c r="Z10" i="17" s="1"/>
  <c r="AA10" i="17" s="1"/>
  <c r="AB10" i="17" s="1"/>
  <c r="AC10" i="17" s="1"/>
  <c r="AD10" i="17" s="1"/>
  <c r="AE10" i="17" s="1"/>
  <c r="AF10" i="17" s="1"/>
  <c r="AG10" i="17" s="1"/>
  <c r="AH10" i="17" s="1"/>
  <c r="AI10" i="17" s="1"/>
  <c r="AJ10" i="17" s="1"/>
  <c r="AK10" i="17" s="1"/>
  <c r="AL10" i="17" s="1"/>
  <c r="C10" i="17"/>
  <c r="AL22" i="16"/>
  <c r="AK22" i="16"/>
  <c r="AJ22" i="16"/>
  <c r="AH22" i="16"/>
  <c r="AD22" i="16"/>
  <c r="AB22" i="16"/>
  <c r="Z22" i="16"/>
  <c r="Y22" i="16"/>
  <c r="X22" i="16"/>
  <c r="V22" i="16"/>
  <c r="U22" i="16"/>
  <c r="T22" i="16"/>
  <c r="R22" i="16"/>
  <c r="AI20" i="16"/>
  <c r="AA20" i="16"/>
  <c r="AC20" i="16" s="1"/>
  <c r="W20" i="16"/>
  <c r="B20" i="16"/>
  <c r="AI19" i="16"/>
  <c r="AA19" i="16"/>
  <c r="AC19" i="16" s="1"/>
  <c r="W19" i="16"/>
  <c r="B19" i="16"/>
  <c r="AI18" i="16"/>
  <c r="AC18" i="16"/>
  <c r="AA18" i="16"/>
  <c r="W18" i="16"/>
  <c r="B18" i="16"/>
  <c r="AI17" i="16"/>
  <c r="AA17" i="16"/>
  <c r="AC17" i="16" s="1"/>
  <c r="W17" i="16"/>
  <c r="B17" i="16"/>
  <c r="AI16" i="16"/>
  <c r="AA16" i="16"/>
  <c r="AC16" i="16" s="1"/>
  <c r="W16" i="16"/>
  <c r="B16" i="16"/>
  <c r="AI15" i="16"/>
  <c r="AA15" i="16"/>
  <c r="AC15" i="16" s="1"/>
  <c r="W15" i="16"/>
  <c r="B15" i="16"/>
  <c r="AI14" i="16"/>
  <c r="AA14" i="16"/>
  <c r="AC14" i="16" s="1"/>
  <c r="W14" i="16"/>
  <c r="B14" i="16"/>
  <c r="AI13" i="16"/>
  <c r="AA13" i="16"/>
  <c r="AC13" i="16" s="1"/>
  <c r="W13" i="16"/>
  <c r="B13" i="16"/>
  <c r="AI12" i="16"/>
  <c r="AC12" i="16"/>
  <c r="AA12" i="16"/>
  <c r="W12" i="16"/>
  <c r="B12" i="16"/>
  <c r="AI11" i="16"/>
  <c r="AA11" i="16"/>
  <c r="AC11" i="16" s="1"/>
  <c r="W11" i="16"/>
  <c r="B11" i="16"/>
  <c r="C10" i="16"/>
  <c r="D10" i="16" s="1"/>
  <c r="E10" i="16" s="1"/>
  <c r="F10" i="16" s="1"/>
  <c r="G10" i="16" s="1"/>
  <c r="H10" i="16" s="1"/>
  <c r="I10" i="16" s="1"/>
  <c r="J10" i="16" s="1"/>
  <c r="K10" i="16" s="1"/>
  <c r="L10" i="16" s="1"/>
  <c r="M10" i="16" s="1"/>
  <c r="N10" i="16" s="1"/>
  <c r="O10" i="16" s="1"/>
  <c r="P10" i="16" s="1"/>
  <c r="Q10" i="16" s="1"/>
  <c r="R10" i="16" s="1"/>
  <c r="S10" i="16" s="1"/>
  <c r="T10" i="16" s="1"/>
  <c r="U10" i="16" s="1"/>
  <c r="V10" i="16" s="1"/>
  <c r="W10" i="16" s="1"/>
  <c r="X10" i="16" s="1"/>
  <c r="Y10" i="16" s="1"/>
  <c r="Z10" i="16" s="1"/>
  <c r="AA10" i="16" s="1"/>
  <c r="AB10" i="16" s="1"/>
  <c r="AC10" i="16" s="1"/>
  <c r="AD10" i="16" s="1"/>
  <c r="AE10" i="16" s="1"/>
  <c r="AF10" i="16" s="1"/>
  <c r="AG10" i="16" s="1"/>
  <c r="AH10" i="16" s="1"/>
  <c r="AI10" i="16" s="1"/>
  <c r="AJ10" i="16" s="1"/>
  <c r="AK10" i="16" s="1"/>
  <c r="AL10" i="16" s="1"/>
  <c r="AM10" i="16" s="1"/>
  <c r="C31" i="15"/>
  <c r="B31" i="15"/>
  <c r="C28" i="15"/>
  <c r="B28" i="15"/>
  <c r="L26" i="15"/>
  <c r="I26" i="15"/>
  <c r="I16" i="15" s="1"/>
  <c r="K26" i="15"/>
  <c r="L17" i="15"/>
  <c r="L16" i="15" s="1"/>
  <c r="K17" i="15"/>
  <c r="J16" i="15"/>
  <c r="K16" i="15" s="1"/>
  <c r="L13" i="15"/>
  <c r="L9" i="15" s="1"/>
  <c r="I13" i="15"/>
  <c r="L10" i="15"/>
  <c r="K10" i="15"/>
  <c r="I10" i="15"/>
  <c r="I9" i="15" s="1"/>
  <c r="J9" i="15"/>
  <c r="K9" i="15" s="1"/>
  <c r="B7" i="15"/>
  <c r="C7" i="15" s="1"/>
  <c r="B88" i="14"/>
  <c r="B87" i="14"/>
  <c r="S86" i="14"/>
  <c r="S81" i="14" s="1"/>
  <c r="R86" i="14"/>
  <c r="P86" i="14"/>
  <c r="I86" i="14"/>
  <c r="H86" i="14"/>
  <c r="G86" i="14"/>
  <c r="B84" i="14"/>
  <c r="B83" i="14"/>
  <c r="S82" i="14"/>
  <c r="R82" i="14"/>
  <c r="R81" i="14" s="1"/>
  <c r="P82" i="14"/>
  <c r="I82" i="14"/>
  <c r="I81" i="14" s="1"/>
  <c r="H82" i="14"/>
  <c r="G82" i="14"/>
  <c r="G81" i="14" s="1"/>
  <c r="O81" i="14"/>
  <c r="O10" i="14" s="1"/>
  <c r="M81" i="14"/>
  <c r="K81" i="14"/>
  <c r="J81" i="14"/>
  <c r="F81" i="14"/>
  <c r="B79" i="14"/>
  <c r="B78" i="14"/>
  <c r="S77" i="14"/>
  <c r="R77" i="14"/>
  <c r="P77" i="14"/>
  <c r="I77" i="14"/>
  <c r="H77" i="14"/>
  <c r="G77" i="14"/>
  <c r="B75" i="14"/>
  <c r="B74" i="14"/>
  <c r="S73" i="14"/>
  <c r="R73" i="14"/>
  <c r="P73" i="14"/>
  <c r="I73" i="14"/>
  <c r="H73" i="14"/>
  <c r="G73" i="14"/>
  <c r="B71" i="14"/>
  <c r="B70" i="14"/>
  <c r="S69" i="14"/>
  <c r="R69" i="14"/>
  <c r="P69" i="14"/>
  <c r="I69" i="14"/>
  <c r="H69" i="14"/>
  <c r="G69" i="14"/>
  <c r="B67" i="14"/>
  <c r="B66" i="14"/>
  <c r="S65" i="14"/>
  <c r="R65" i="14"/>
  <c r="P65" i="14"/>
  <c r="I65" i="14"/>
  <c r="H65" i="14"/>
  <c r="G65" i="14"/>
  <c r="B63" i="14"/>
  <c r="B62" i="14"/>
  <c r="S61" i="14"/>
  <c r="R61" i="14"/>
  <c r="P61" i="14"/>
  <c r="I61" i="14"/>
  <c r="H61" i="14"/>
  <c r="G61" i="14"/>
  <c r="B59" i="14"/>
  <c r="B58" i="14"/>
  <c r="S57" i="14"/>
  <c r="R57" i="14"/>
  <c r="P57" i="14"/>
  <c r="I57" i="14"/>
  <c r="H57" i="14"/>
  <c r="G57" i="14"/>
  <c r="B55" i="14"/>
  <c r="B54" i="14"/>
  <c r="S53" i="14"/>
  <c r="R53" i="14"/>
  <c r="P53" i="14"/>
  <c r="I53" i="14"/>
  <c r="H53" i="14"/>
  <c r="G53" i="14"/>
  <c r="B51" i="14"/>
  <c r="B50" i="14"/>
  <c r="S49" i="14"/>
  <c r="R49" i="14"/>
  <c r="R44" i="14" s="1"/>
  <c r="P49" i="14"/>
  <c r="I49" i="14"/>
  <c r="H49" i="14"/>
  <c r="G49" i="14"/>
  <c r="B47" i="14"/>
  <c r="B46" i="14"/>
  <c r="S45" i="14"/>
  <c r="R45" i="14"/>
  <c r="P45" i="14"/>
  <c r="I45" i="14"/>
  <c r="H45" i="14"/>
  <c r="G45" i="14"/>
  <c r="G44" i="14" s="1"/>
  <c r="P44" i="14"/>
  <c r="M44" i="14"/>
  <c r="K44" i="14"/>
  <c r="J44" i="14"/>
  <c r="B42" i="14"/>
  <c r="B41" i="14"/>
  <c r="S40" i="14"/>
  <c r="R40" i="14"/>
  <c r="P40" i="14"/>
  <c r="I40" i="14"/>
  <c r="H40" i="14"/>
  <c r="G40" i="14"/>
  <c r="B38" i="14"/>
  <c r="B37" i="14"/>
  <c r="S36" i="14"/>
  <c r="R36" i="14"/>
  <c r="P36" i="14"/>
  <c r="I36" i="14"/>
  <c r="H36" i="14"/>
  <c r="G36" i="14"/>
  <c r="B34" i="14"/>
  <c r="B33" i="14"/>
  <c r="S32" i="14"/>
  <c r="R32" i="14"/>
  <c r="P32" i="14"/>
  <c r="I32" i="14"/>
  <c r="H32" i="14"/>
  <c r="G32" i="14"/>
  <c r="B30" i="14"/>
  <c r="B29" i="14"/>
  <c r="S28" i="14"/>
  <c r="R28" i="14"/>
  <c r="P28" i="14"/>
  <c r="I28" i="14"/>
  <c r="H28" i="14"/>
  <c r="G28" i="14"/>
  <c r="B26" i="14"/>
  <c r="B25" i="14"/>
  <c r="S24" i="14"/>
  <c r="R24" i="14"/>
  <c r="P24" i="14"/>
  <c r="I24" i="14"/>
  <c r="H24" i="14"/>
  <c r="G24" i="14"/>
  <c r="B22" i="14"/>
  <c r="B21" i="14"/>
  <c r="S20" i="14"/>
  <c r="R20" i="14"/>
  <c r="R11" i="14" s="1"/>
  <c r="P20" i="14"/>
  <c r="I20" i="14"/>
  <c r="H20" i="14"/>
  <c r="G20" i="14"/>
  <c r="B18" i="14"/>
  <c r="B17" i="14"/>
  <c r="S16" i="14"/>
  <c r="S11" i="14" s="1"/>
  <c r="R16" i="14"/>
  <c r="P16" i="14"/>
  <c r="I16" i="14"/>
  <c r="H16" i="14"/>
  <c r="G16" i="14"/>
  <c r="B14" i="14"/>
  <c r="B13" i="14"/>
  <c r="S12" i="14"/>
  <c r="R12" i="14"/>
  <c r="P12" i="14"/>
  <c r="I12" i="14"/>
  <c r="I11" i="14" s="1"/>
  <c r="H12" i="14"/>
  <c r="H11" i="14" s="1"/>
  <c r="G12" i="14"/>
  <c r="O11" i="14"/>
  <c r="M11" i="14"/>
  <c r="K11" i="14"/>
  <c r="K10" i="14" s="1"/>
  <c r="J11" i="14"/>
  <c r="J10" i="14" s="1"/>
  <c r="F11" i="14"/>
  <c r="Q9" i="14"/>
  <c r="R9" i="14" s="1"/>
  <c r="S9" i="14" s="1"/>
  <c r="T9" i="14" s="1"/>
  <c r="P9" i="14"/>
  <c r="O9" i="14"/>
  <c r="C9" i="14"/>
  <c r="D9" i="14" s="1"/>
  <c r="E9" i="14" s="1"/>
  <c r="F9" i="14" s="1"/>
  <c r="G9" i="14" s="1"/>
  <c r="H9" i="14" s="1"/>
  <c r="I9" i="14" s="1"/>
  <c r="J9" i="14" s="1"/>
  <c r="K9" i="14" s="1"/>
  <c r="O44" i="13"/>
  <c r="M44" i="13"/>
  <c r="J44" i="13"/>
  <c r="H44" i="13"/>
  <c r="G44" i="13"/>
  <c r="N42" i="13"/>
  <c r="N21" i="13"/>
  <c r="N39" i="13" s="1"/>
  <c r="K21" i="13"/>
  <c r="K39" i="13" s="1"/>
  <c r="H8" i="13"/>
  <c r="I8" i="13" s="1"/>
  <c r="J8" i="13" s="1"/>
  <c r="K8" i="13" s="1"/>
  <c r="L8" i="13" s="1"/>
  <c r="M8" i="13" s="1"/>
  <c r="N8" i="13" s="1"/>
  <c r="O8" i="13" s="1"/>
  <c r="B8" i="13"/>
  <c r="C8" i="13" s="1"/>
  <c r="J23" i="12"/>
  <c r="J22" i="12"/>
  <c r="B20" i="12"/>
  <c r="B19" i="12"/>
  <c r="J18" i="12"/>
  <c r="B16" i="12"/>
  <c r="B15" i="12"/>
  <c r="J14" i="12"/>
  <c r="B12" i="12"/>
  <c r="B11" i="12"/>
  <c r="J10" i="12"/>
  <c r="C9" i="12"/>
  <c r="D9" i="12" s="1"/>
  <c r="E9" i="12" s="1"/>
  <c r="F9" i="12" s="1"/>
  <c r="G9" i="12" s="1"/>
  <c r="H9" i="12" s="1"/>
  <c r="I9" i="12" s="1"/>
  <c r="J9" i="12" s="1"/>
  <c r="K9" i="12" s="1"/>
  <c r="L9" i="12" s="1"/>
  <c r="M9" i="12" s="1"/>
  <c r="N9" i="12" s="1"/>
  <c r="T64" i="11"/>
  <c r="S64" i="11"/>
  <c r="P64" i="11"/>
  <c r="H64" i="11"/>
  <c r="G64" i="11"/>
  <c r="B64" i="11"/>
  <c r="C64" i="11" s="1"/>
  <c r="T60" i="11"/>
  <c r="S60" i="11"/>
  <c r="P60" i="11"/>
  <c r="H60" i="11"/>
  <c r="G60" i="11"/>
  <c r="C60" i="11"/>
  <c r="T58" i="11"/>
  <c r="I58" i="11"/>
  <c r="G58" i="11"/>
  <c r="T53" i="11"/>
  <c r="T51" i="11" s="1"/>
  <c r="S53" i="11"/>
  <c r="S51" i="11" s="1"/>
  <c r="P53" i="11"/>
  <c r="H53" i="11"/>
  <c r="G53" i="11"/>
  <c r="G51" i="11" s="1"/>
  <c r="B53" i="11"/>
  <c r="C53" i="11" s="1"/>
  <c r="H51" i="11"/>
  <c r="I51" i="11"/>
  <c r="I43" i="11" s="1"/>
  <c r="T46" i="11"/>
  <c r="S46" i="11"/>
  <c r="S44" i="11" s="1"/>
  <c r="P46" i="11"/>
  <c r="P44" i="11" s="1"/>
  <c r="H46" i="11"/>
  <c r="G46" i="11"/>
  <c r="C46" i="11"/>
  <c r="T44" i="11"/>
  <c r="I44" i="11"/>
  <c r="H44" i="11"/>
  <c r="G44" i="11"/>
  <c r="M43" i="11"/>
  <c r="K43" i="11"/>
  <c r="J43" i="11"/>
  <c r="T38" i="11"/>
  <c r="S38" i="11"/>
  <c r="P38" i="11"/>
  <c r="H38" i="11"/>
  <c r="G38" i="11"/>
  <c r="B38" i="11"/>
  <c r="C38" i="11" s="1"/>
  <c r="T34" i="11"/>
  <c r="T33" i="11" s="1"/>
  <c r="S34" i="11"/>
  <c r="P34" i="11"/>
  <c r="H34" i="11"/>
  <c r="G34" i="11"/>
  <c r="C34" i="11"/>
  <c r="I33" i="11"/>
  <c r="G33" i="11"/>
  <c r="T28" i="11"/>
  <c r="S28" i="11"/>
  <c r="P28" i="11"/>
  <c r="H28" i="11"/>
  <c r="G28" i="11"/>
  <c r="B28" i="11"/>
  <c r="C28" i="11" s="1"/>
  <c r="T24" i="11"/>
  <c r="S24" i="11"/>
  <c r="P24" i="11"/>
  <c r="P23" i="11" s="1"/>
  <c r="H24" i="11"/>
  <c r="H23" i="11" s="1"/>
  <c r="G24" i="11"/>
  <c r="C24" i="11"/>
  <c r="T23" i="11"/>
  <c r="I23" i="11"/>
  <c r="G23" i="11"/>
  <c r="T18" i="11"/>
  <c r="S18" i="11"/>
  <c r="P18" i="11"/>
  <c r="H18" i="11"/>
  <c r="G18" i="11"/>
  <c r="B18" i="11"/>
  <c r="C18" i="11" s="1"/>
  <c r="T14" i="11"/>
  <c r="S14" i="11"/>
  <c r="S13" i="11" s="1"/>
  <c r="P14" i="11"/>
  <c r="H14" i="11"/>
  <c r="H13" i="11" s="1"/>
  <c r="G14" i="11"/>
  <c r="C14" i="11"/>
  <c r="P13" i="11"/>
  <c r="I13" i="11"/>
  <c r="G13" i="11"/>
  <c r="M12" i="11"/>
  <c r="K12" i="11"/>
  <c r="J12" i="11"/>
  <c r="O11" i="11"/>
  <c r="P11" i="11" s="1"/>
  <c r="Q11" i="11" s="1"/>
  <c r="S11" i="11" s="1"/>
  <c r="T11" i="11" s="1"/>
  <c r="U11" i="11" s="1"/>
  <c r="D11" i="11"/>
  <c r="E11" i="11" s="1"/>
  <c r="F11" i="11" s="1"/>
  <c r="G11" i="11" s="1"/>
  <c r="H11" i="11" s="1"/>
  <c r="I11" i="11" s="1"/>
  <c r="J11" i="11" s="1"/>
  <c r="K11" i="11" s="1"/>
  <c r="Z102" i="10"/>
  <c r="Y102" i="10"/>
  <c r="U102" i="10"/>
  <c r="M102" i="10"/>
  <c r="L102" i="10"/>
  <c r="C102" i="10"/>
  <c r="B102" i="10"/>
  <c r="Z98" i="10"/>
  <c r="Y98" i="10"/>
  <c r="U98" i="10"/>
  <c r="M98" i="10"/>
  <c r="M97" i="10" s="1"/>
  <c r="L98" i="10"/>
  <c r="C98" i="10"/>
  <c r="Y97" i="10"/>
  <c r="U97" i="10"/>
  <c r="N97" i="10"/>
  <c r="Z92" i="10"/>
  <c r="Y92" i="10"/>
  <c r="U92" i="10"/>
  <c r="M92" i="10"/>
  <c r="M87" i="10" s="1"/>
  <c r="L92" i="10"/>
  <c r="L87" i="10" s="1"/>
  <c r="B92" i="10"/>
  <c r="C92" i="10" s="1"/>
  <c r="Z88" i="10"/>
  <c r="Y88" i="10"/>
  <c r="Y87" i="10" s="1"/>
  <c r="U88" i="10"/>
  <c r="M88" i="10"/>
  <c r="L88" i="10"/>
  <c r="C88" i="10"/>
  <c r="Z87" i="10"/>
  <c r="U87" i="10"/>
  <c r="N87" i="10"/>
  <c r="Z82" i="10"/>
  <c r="Y82" i="10"/>
  <c r="U82" i="10"/>
  <c r="M82" i="10"/>
  <c r="M77" i="10" s="1"/>
  <c r="M76" i="10" s="1"/>
  <c r="L82" i="10"/>
  <c r="B82" i="10"/>
  <c r="C82" i="10" s="1"/>
  <c r="Z78" i="10"/>
  <c r="Y78" i="10"/>
  <c r="U78" i="10"/>
  <c r="M78" i="10"/>
  <c r="L78" i="10"/>
  <c r="C78" i="10"/>
  <c r="Z77" i="10"/>
  <c r="Y77" i="10"/>
  <c r="Y76" i="10" s="1"/>
  <c r="N77" i="10"/>
  <c r="N76" i="10" s="1"/>
  <c r="T76" i="10"/>
  <c r="R76" i="10"/>
  <c r="P76" i="10"/>
  <c r="O76" i="10"/>
  <c r="K76" i="10"/>
  <c r="Z71" i="10"/>
  <c r="Y71" i="10"/>
  <c r="U71" i="10"/>
  <c r="M71" i="10"/>
  <c r="M66" i="10" s="1"/>
  <c r="L71" i="10"/>
  <c r="B71" i="10"/>
  <c r="C71" i="10" s="1"/>
  <c r="Z67" i="10"/>
  <c r="Y67" i="10"/>
  <c r="U67" i="10"/>
  <c r="M67" i="10"/>
  <c r="L67" i="10"/>
  <c r="C67" i="10"/>
  <c r="Z66" i="10"/>
  <c r="Y66" i="10"/>
  <c r="N66" i="10"/>
  <c r="Z61" i="10"/>
  <c r="Y61" i="10"/>
  <c r="U61" i="10"/>
  <c r="M61" i="10"/>
  <c r="L61" i="10"/>
  <c r="B61" i="10"/>
  <c r="Z57" i="10"/>
  <c r="Y57" i="10"/>
  <c r="U57" i="10"/>
  <c r="M57" i="10"/>
  <c r="L57" i="10"/>
  <c r="L56" i="10" s="1"/>
  <c r="C57" i="10"/>
  <c r="Z56" i="10"/>
  <c r="Y56" i="10"/>
  <c r="Y55" i="10" s="1"/>
  <c r="U56" i="10"/>
  <c r="N56" i="10"/>
  <c r="N55" i="10" s="1"/>
  <c r="M56" i="10"/>
  <c r="Z55" i="10"/>
  <c r="T55" i="10"/>
  <c r="R55" i="10"/>
  <c r="P55" i="10"/>
  <c r="O55" i="10"/>
  <c r="K55" i="10"/>
  <c r="Z50" i="10"/>
  <c r="Y50" i="10"/>
  <c r="U50" i="10"/>
  <c r="M50" i="10"/>
  <c r="M45" i="10" s="1"/>
  <c r="L50" i="10"/>
  <c r="B50" i="10"/>
  <c r="C50" i="10" s="1"/>
  <c r="Z46" i="10"/>
  <c r="Y46" i="10"/>
  <c r="Y45" i="10" s="1"/>
  <c r="U46" i="10"/>
  <c r="M46" i="10"/>
  <c r="L46" i="10"/>
  <c r="C46" i="10"/>
  <c r="Z45" i="10"/>
  <c r="N45" i="10"/>
  <c r="Z40" i="10"/>
  <c r="Y40" i="10"/>
  <c r="U40" i="10"/>
  <c r="M40" i="10"/>
  <c r="L40" i="10"/>
  <c r="L35" i="10" s="1"/>
  <c r="B40" i="10"/>
  <c r="C40" i="10" s="1"/>
  <c r="Z36" i="10"/>
  <c r="Y36" i="10"/>
  <c r="U36" i="10"/>
  <c r="M36" i="10"/>
  <c r="M35" i="10" s="1"/>
  <c r="L36" i="10"/>
  <c r="C36" i="10"/>
  <c r="Z35" i="10"/>
  <c r="U35" i="10"/>
  <c r="N35" i="10"/>
  <c r="Z30" i="10"/>
  <c r="Z25" i="10" s="1"/>
  <c r="Z9" i="10" s="1"/>
  <c r="Y30" i="10"/>
  <c r="U30" i="10"/>
  <c r="M30" i="10"/>
  <c r="L30" i="10"/>
  <c r="B30" i="10"/>
  <c r="C30" i="10" s="1"/>
  <c r="Z26" i="10"/>
  <c r="Y26" i="10"/>
  <c r="Y25" i="10" s="1"/>
  <c r="U26" i="10"/>
  <c r="M26" i="10"/>
  <c r="L26" i="10"/>
  <c r="C26" i="10"/>
  <c r="U25" i="10"/>
  <c r="N25" i="10"/>
  <c r="L25" i="10"/>
  <c r="Z20" i="10"/>
  <c r="Y20" i="10"/>
  <c r="U20" i="10"/>
  <c r="M20" i="10"/>
  <c r="M10" i="10" s="1"/>
  <c r="L20" i="10"/>
  <c r="B20" i="10"/>
  <c r="C20" i="10" s="1"/>
  <c r="Z11" i="10"/>
  <c r="Y11" i="10"/>
  <c r="U11" i="10"/>
  <c r="M11" i="10"/>
  <c r="L11" i="10"/>
  <c r="C11" i="10"/>
  <c r="Z10" i="10"/>
  <c r="Y10" i="10"/>
  <c r="N10" i="10"/>
  <c r="T9" i="10"/>
  <c r="R9" i="10"/>
  <c r="R107" i="10" s="1"/>
  <c r="P9" i="10"/>
  <c r="O9" i="10"/>
  <c r="N9" i="10"/>
  <c r="K9" i="10"/>
  <c r="T8" i="10"/>
  <c r="U8" i="10" s="1"/>
  <c r="V8" i="10" s="1"/>
  <c r="D8" i="10"/>
  <c r="E8" i="10" s="1"/>
  <c r="F8" i="10" s="1"/>
  <c r="K8" i="10" s="1"/>
  <c r="L8" i="10" s="1"/>
  <c r="M8" i="10" s="1"/>
  <c r="N8" i="10" s="1"/>
  <c r="O8" i="10" s="1"/>
  <c r="P8" i="10" s="1"/>
  <c r="Q43" i="9"/>
  <c r="Q51" i="9" s="1"/>
  <c r="P43" i="9"/>
  <c r="P51" i="9" s="1"/>
  <c r="O43" i="9"/>
  <c r="N43" i="9"/>
  <c r="M43" i="9"/>
  <c r="L43" i="9"/>
  <c r="K43" i="9"/>
  <c r="K51" i="9" s="1"/>
  <c r="J43" i="9"/>
  <c r="J51" i="9" s="1"/>
  <c r="I43" i="9"/>
  <c r="H43" i="9"/>
  <c r="G43" i="9"/>
  <c r="G51" i="9" s="1"/>
  <c r="H25" i="9"/>
  <c r="H23" i="9" s="1"/>
  <c r="G25" i="9"/>
  <c r="G23" i="9" s="1"/>
  <c r="H19" i="9"/>
  <c r="G19" i="9"/>
  <c r="Q9" i="9"/>
  <c r="P9" i="9"/>
  <c r="O9" i="9"/>
  <c r="N9" i="9"/>
  <c r="M9" i="9"/>
  <c r="M15" i="9" s="1"/>
  <c r="M16" i="9" s="1"/>
  <c r="M37" i="9" s="1"/>
  <c r="L9" i="9"/>
  <c r="L15" i="9" s="1"/>
  <c r="L16" i="9" s="1"/>
  <c r="L37" i="9" s="1"/>
  <c r="K9" i="9"/>
  <c r="K15" i="9" s="1"/>
  <c r="K16" i="9" s="1"/>
  <c r="K37" i="9" s="1"/>
  <c r="J9" i="9"/>
  <c r="J15" i="9" s="1"/>
  <c r="J16" i="9" s="1"/>
  <c r="J37" i="9" s="1"/>
  <c r="I9" i="9"/>
  <c r="I15" i="9" s="1"/>
  <c r="I16" i="9" s="1"/>
  <c r="I37" i="9" s="1"/>
  <c r="H9" i="9"/>
  <c r="H15" i="9" s="1"/>
  <c r="H16" i="9" s="1"/>
  <c r="G9" i="9"/>
  <c r="I5" i="9"/>
  <c r="J5" i="9" s="1"/>
  <c r="K5" i="9" s="1"/>
  <c r="L5" i="9" s="1"/>
  <c r="M5" i="9" s="1"/>
  <c r="N5" i="9" s="1"/>
  <c r="O5" i="9" s="1"/>
  <c r="P5" i="9" s="1"/>
  <c r="G47" i="8"/>
  <c r="G46" i="8"/>
  <c r="G45" i="8"/>
  <c r="G44" i="8"/>
  <c r="F41" i="8"/>
  <c r="E41" i="8"/>
  <c r="G41" i="8" s="1"/>
  <c r="G40" i="8"/>
  <c r="F36" i="8"/>
  <c r="F35" i="8" s="1"/>
  <c r="E36" i="8"/>
  <c r="G36" i="8" s="1"/>
  <c r="F29" i="8"/>
  <c r="E29" i="8"/>
  <c r="G29" i="8" s="1"/>
  <c r="F26" i="8"/>
  <c r="E26" i="8"/>
  <c r="F23" i="8"/>
  <c r="E23" i="8"/>
  <c r="G23" i="8" s="1"/>
  <c r="F20" i="8"/>
  <c r="E20" i="8"/>
  <c r="F17" i="8"/>
  <c r="E17" i="8"/>
  <c r="P30" i="7"/>
  <c r="O30" i="7"/>
  <c r="O35" i="7" s="1"/>
  <c r="M30" i="7"/>
  <c r="K30" i="7" s="1"/>
  <c r="L30" i="7"/>
  <c r="J30" i="7"/>
  <c r="I30" i="7"/>
  <c r="H30" i="7" s="1"/>
  <c r="G30" i="7"/>
  <c r="E30" i="7" s="1"/>
  <c r="F30" i="7"/>
  <c r="P28" i="7"/>
  <c r="O28" i="7"/>
  <c r="M28" i="7"/>
  <c r="L28" i="7"/>
  <c r="J28" i="7"/>
  <c r="J29" i="7" s="1"/>
  <c r="I28" i="7"/>
  <c r="G28" i="7"/>
  <c r="F28" i="7"/>
  <c r="P27" i="7"/>
  <c r="O27" i="7"/>
  <c r="O29" i="7" s="1"/>
  <c r="N27" i="7"/>
  <c r="M27" i="7"/>
  <c r="L27" i="7"/>
  <c r="J27" i="7"/>
  <c r="I27" i="7"/>
  <c r="H27" i="7"/>
  <c r="G27" i="7"/>
  <c r="F27" i="7"/>
  <c r="P26" i="7"/>
  <c r="O26" i="7"/>
  <c r="M26" i="7"/>
  <c r="L26" i="7"/>
  <c r="J26" i="7"/>
  <c r="I26" i="7"/>
  <c r="G26" i="7"/>
  <c r="F26" i="7"/>
  <c r="K31" i="7"/>
  <c r="M31" i="7" s="1"/>
  <c r="E31" i="7"/>
  <c r="G31" i="7" s="1"/>
  <c r="F32" i="6"/>
  <c r="F31" i="6"/>
  <c r="F30" i="6"/>
  <c r="F29" i="6"/>
  <c r="F28" i="6"/>
  <c r="F27" i="6"/>
  <c r="F26" i="6"/>
  <c r="F25" i="6"/>
  <c r="F24" i="6"/>
  <c r="E47" i="6"/>
  <c r="D47" i="6"/>
  <c r="C47" i="6"/>
  <c r="F18" i="6"/>
  <c r="E46" i="6"/>
  <c r="D46" i="6"/>
  <c r="C46" i="6"/>
  <c r="F17" i="6"/>
  <c r="E45" i="6"/>
  <c r="D45" i="6"/>
  <c r="C45" i="6"/>
  <c r="F16" i="6"/>
  <c r="E44" i="6"/>
  <c r="D44" i="6"/>
  <c r="C44" i="6"/>
  <c r="F15" i="6"/>
  <c r="E43" i="6"/>
  <c r="D43" i="6"/>
  <c r="C43" i="6"/>
  <c r="F14" i="6"/>
  <c r="E42" i="6"/>
  <c r="D42" i="6"/>
  <c r="C42" i="6"/>
  <c r="F13" i="6"/>
  <c r="E41" i="6"/>
  <c r="D41" i="6"/>
  <c r="C41" i="6"/>
  <c r="F12" i="6"/>
  <c r="E40" i="6"/>
  <c r="D40" i="6"/>
  <c r="C40" i="6"/>
  <c r="F11" i="6"/>
  <c r="E39" i="6"/>
  <c r="D39" i="6"/>
  <c r="C39" i="6"/>
  <c r="F10" i="6"/>
  <c r="AH65" i="5"/>
  <c r="AF65" i="5"/>
  <c r="AC65" i="5"/>
  <c r="AA65" i="5"/>
  <c r="V65" i="5"/>
  <c r="T65" i="5"/>
  <c r="O65" i="5"/>
  <c r="AI60" i="5"/>
  <c r="AG60" i="5"/>
  <c r="AD60" i="5"/>
  <c r="AB60" i="5"/>
  <c r="W60" i="5"/>
  <c r="U60" i="5"/>
  <c r="P60" i="5"/>
  <c r="AI59" i="5"/>
  <c r="AG59" i="5"/>
  <c r="AD59" i="5"/>
  <c r="AB59" i="5"/>
  <c r="W59" i="5"/>
  <c r="U59" i="5"/>
  <c r="P59" i="5"/>
  <c r="AI58" i="5"/>
  <c r="AG58" i="5"/>
  <c r="AD58" i="5"/>
  <c r="AB58" i="5"/>
  <c r="W58" i="5"/>
  <c r="U58" i="5"/>
  <c r="P58" i="5"/>
  <c r="AI57" i="5"/>
  <c r="AG57" i="5"/>
  <c r="AD57" i="5"/>
  <c r="AB57" i="5"/>
  <c r="W57" i="5"/>
  <c r="U57" i="5"/>
  <c r="P57" i="5"/>
  <c r="AI56" i="5"/>
  <c r="AG56" i="5"/>
  <c r="AD56" i="5"/>
  <c r="AB56" i="5"/>
  <c r="W56" i="5"/>
  <c r="U56" i="5"/>
  <c r="P56" i="5"/>
  <c r="AI55" i="5"/>
  <c r="AG55" i="5"/>
  <c r="AD55" i="5"/>
  <c r="AB55" i="5"/>
  <c r="W55" i="5"/>
  <c r="U55" i="5"/>
  <c r="P55" i="5"/>
  <c r="AI54" i="5"/>
  <c r="AG54" i="5"/>
  <c r="AD54" i="5"/>
  <c r="AB54" i="5"/>
  <c r="W54" i="5"/>
  <c r="U54" i="5"/>
  <c r="P54" i="5"/>
  <c r="AI53" i="5"/>
  <c r="AG53" i="5"/>
  <c r="AD53" i="5"/>
  <c r="AB53" i="5"/>
  <c r="W53" i="5"/>
  <c r="U53" i="5"/>
  <c r="P53" i="5"/>
  <c r="AI52" i="5"/>
  <c r="AG52" i="5"/>
  <c r="AD52" i="5"/>
  <c r="AB52" i="5"/>
  <c r="W52" i="5"/>
  <c r="U52" i="5"/>
  <c r="P52" i="5"/>
  <c r="AI51" i="5"/>
  <c r="AG51" i="5"/>
  <c r="AD51" i="5"/>
  <c r="AB51" i="5"/>
  <c r="W51" i="5"/>
  <c r="U51" i="5"/>
  <c r="P51" i="5"/>
  <c r="AI50" i="5"/>
  <c r="AG50" i="5"/>
  <c r="AD50" i="5"/>
  <c r="AB50" i="5"/>
  <c r="W50" i="5"/>
  <c r="U50" i="5"/>
  <c r="P50" i="5"/>
  <c r="AI49" i="5"/>
  <c r="AG49" i="5"/>
  <c r="AD49" i="5"/>
  <c r="AB49" i="5"/>
  <c r="W49" i="5"/>
  <c r="U49" i="5"/>
  <c r="P49" i="5"/>
  <c r="AI48" i="5"/>
  <c r="AG48" i="5"/>
  <c r="AD48" i="5"/>
  <c r="AB48" i="5"/>
  <c r="W48" i="5"/>
  <c r="U48" i="5"/>
  <c r="P48" i="5"/>
  <c r="AI47" i="5"/>
  <c r="AG47" i="5"/>
  <c r="AD47" i="5"/>
  <c r="AB47" i="5"/>
  <c r="W47" i="5"/>
  <c r="U47" i="5"/>
  <c r="P47" i="5"/>
  <c r="AI46" i="5"/>
  <c r="AG46" i="5"/>
  <c r="AD46" i="5"/>
  <c r="AB46" i="5"/>
  <c r="W46" i="5"/>
  <c r="U46" i="5"/>
  <c r="P46" i="5"/>
  <c r="AI45" i="5"/>
  <c r="AG45" i="5"/>
  <c r="AD45" i="5"/>
  <c r="AB45" i="5"/>
  <c r="W45" i="5"/>
  <c r="U45" i="5"/>
  <c r="P45" i="5"/>
  <c r="AI44" i="5"/>
  <c r="AG44" i="5"/>
  <c r="AD44" i="5"/>
  <c r="AB44" i="5"/>
  <c r="W44" i="5"/>
  <c r="U44" i="5"/>
  <c r="P44" i="5"/>
  <c r="AI43" i="5"/>
  <c r="AG43" i="5"/>
  <c r="AD43" i="5"/>
  <c r="AB43" i="5"/>
  <c r="W43" i="5"/>
  <c r="U43" i="5"/>
  <c r="P43" i="5"/>
  <c r="AI42" i="5"/>
  <c r="AG42" i="5"/>
  <c r="AD42" i="5"/>
  <c r="AB42" i="5"/>
  <c r="W42" i="5"/>
  <c r="U42" i="5"/>
  <c r="P42" i="5"/>
  <c r="AI41" i="5"/>
  <c r="AG41" i="5"/>
  <c r="AD41" i="5"/>
  <c r="AB41" i="5"/>
  <c r="W41" i="5"/>
  <c r="U41" i="5"/>
  <c r="P41" i="5"/>
  <c r="AI40" i="5"/>
  <c r="AG40" i="5"/>
  <c r="AD40" i="5"/>
  <c r="AB40" i="5"/>
  <c r="W40" i="5"/>
  <c r="U40" i="5"/>
  <c r="P40" i="5"/>
  <c r="AI39" i="5"/>
  <c r="AG39" i="5"/>
  <c r="AD39" i="5"/>
  <c r="AB39" i="5"/>
  <c r="W39" i="5"/>
  <c r="U39" i="5"/>
  <c r="P39" i="5"/>
  <c r="AI38" i="5"/>
  <c r="AG38" i="5"/>
  <c r="AD38" i="5"/>
  <c r="AB38" i="5"/>
  <c r="W38" i="5"/>
  <c r="U38" i="5"/>
  <c r="P38" i="5"/>
  <c r="AI37" i="5"/>
  <c r="AG37" i="5"/>
  <c r="AD37" i="5"/>
  <c r="AB37" i="5"/>
  <c r="W37" i="5"/>
  <c r="U37" i="5"/>
  <c r="P37" i="5"/>
  <c r="AI36" i="5"/>
  <c r="AG36" i="5"/>
  <c r="AD36" i="5"/>
  <c r="AB36" i="5"/>
  <c r="W36" i="5"/>
  <c r="U36" i="5"/>
  <c r="P36" i="5"/>
  <c r="AI35" i="5"/>
  <c r="AG35" i="5"/>
  <c r="AD35" i="5"/>
  <c r="AB35" i="5"/>
  <c r="W35" i="5"/>
  <c r="U35" i="5"/>
  <c r="P35" i="5"/>
  <c r="AI34" i="5"/>
  <c r="AG34" i="5"/>
  <c r="AD34" i="5"/>
  <c r="AB34" i="5"/>
  <c r="W34" i="5"/>
  <c r="U34" i="5"/>
  <c r="P34" i="5"/>
  <c r="AI33" i="5"/>
  <c r="AG33" i="5"/>
  <c r="AD33" i="5"/>
  <c r="AB33" i="5"/>
  <c r="W33" i="5"/>
  <c r="U33" i="5"/>
  <c r="P33" i="5"/>
  <c r="AI32" i="5"/>
  <c r="AG32" i="5"/>
  <c r="AD32" i="5"/>
  <c r="AB32" i="5"/>
  <c r="W32" i="5"/>
  <c r="U32" i="5"/>
  <c r="P32" i="5"/>
  <c r="AI31" i="5"/>
  <c r="AG31" i="5"/>
  <c r="AD31" i="5"/>
  <c r="AB31" i="5"/>
  <c r="W31" i="5"/>
  <c r="U31" i="5"/>
  <c r="P31" i="5"/>
  <c r="AI30" i="5"/>
  <c r="AG30" i="5"/>
  <c r="AD30" i="5"/>
  <c r="AB30" i="5"/>
  <c r="W30" i="5"/>
  <c r="U30" i="5"/>
  <c r="P30" i="5"/>
  <c r="AI29" i="5"/>
  <c r="AG29" i="5"/>
  <c r="AD29" i="5"/>
  <c r="AB29" i="5"/>
  <c r="W29" i="5"/>
  <c r="U29" i="5"/>
  <c r="P29" i="5"/>
  <c r="AI28" i="5"/>
  <c r="AG28" i="5"/>
  <c r="AD28" i="5"/>
  <c r="AB28" i="5"/>
  <c r="W28" i="5"/>
  <c r="U28" i="5"/>
  <c r="P28" i="5"/>
  <c r="AI27" i="5"/>
  <c r="AG27" i="5"/>
  <c r="AD27" i="5"/>
  <c r="AB27" i="5"/>
  <c r="W27" i="5"/>
  <c r="U27" i="5"/>
  <c r="P27" i="5"/>
  <c r="AI26" i="5"/>
  <c r="AG26" i="5"/>
  <c r="AD26" i="5"/>
  <c r="AB26" i="5"/>
  <c r="W26" i="5"/>
  <c r="U26" i="5"/>
  <c r="P26" i="5"/>
  <c r="AI25" i="5"/>
  <c r="AG25" i="5"/>
  <c r="AD25" i="5"/>
  <c r="AB25" i="5"/>
  <c r="W25" i="5"/>
  <c r="U25" i="5"/>
  <c r="P25" i="5"/>
  <c r="AI24" i="5"/>
  <c r="AG24" i="5"/>
  <c r="AD24" i="5"/>
  <c r="AB24" i="5"/>
  <c r="W24" i="5"/>
  <c r="U24" i="5"/>
  <c r="P24" i="5"/>
  <c r="AI23" i="5"/>
  <c r="AG23" i="5"/>
  <c r="AG62" i="5" s="1"/>
  <c r="AD23" i="5"/>
  <c r="AB23" i="5"/>
  <c r="W23" i="5"/>
  <c r="U23" i="5"/>
  <c r="P23" i="5"/>
  <c r="AI22" i="5"/>
  <c r="AG22" i="5"/>
  <c r="AD22" i="5"/>
  <c r="AB22" i="5"/>
  <c r="W22" i="5"/>
  <c r="U22" i="5"/>
  <c r="P22" i="5"/>
  <c r="AI21" i="5"/>
  <c r="AG21" i="5"/>
  <c r="AD21" i="5"/>
  <c r="AB21" i="5"/>
  <c r="W21" i="5"/>
  <c r="U21" i="5"/>
  <c r="P21" i="5"/>
  <c r="AI20" i="5"/>
  <c r="AG20" i="5"/>
  <c r="AD20" i="5"/>
  <c r="AB20" i="5"/>
  <c r="W20" i="5"/>
  <c r="U20" i="5"/>
  <c r="P20" i="5"/>
  <c r="AI19" i="5"/>
  <c r="AG19" i="5"/>
  <c r="AD19" i="5"/>
  <c r="AB19" i="5"/>
  <c r="W19" i="5"/>
  <c r="U19" i="5"/>
  <c r="P19" i="5"/>
  <c r="AI18" i="5"/>
  <c r="AG18" i="5"/>
  <c r="AD18" i="5"/>
  <c r="AB18" i="5"/>
  <c r="W18" i="5"/>
  <c r="U18" i="5"/>
  <c r="P18" i="5"/>
  <c r="AI17" i="5"/>
  <c r="AG17" i="5"/>
  <c r="AD17" i="5"/>
  <c r="AB17" i="5"/>
  <c r="W17" i="5"/>
  <c r="U17" i="5"/>
  <c r="P17" i="5"/>
  <c r="AI16" i="5"/>
  <c r="AH16" i="5"/>
  <c r="AL55" i="4"/>
  <c r="AL59" i="4" s="1"/>
  <c r="AJ55" i="4"/>
  <c r="AJ59" i="4" s="1"/>
  <c r="AG55" i="4"/>
  <c r="AG59" i="4" s="1"/>
  <c r="AE55" i="4"/>
  <c r="AE59" i="4" s="1"/>
  <c r="Z55" i="4"/>
  <c r="Z59" i="4" s="1"/>
  <c r="X55" i="4"/>
  <c r="X59" i="4" s="1"/>
  <c r="S55" i="4"/>
  <c r="S59" i="4" s="1"/>
  <c r="F55" i="4"/>
  <c r="AM54" i="4"/>
  <c r="AK54" i="4"/>
  <c r="AH54" i="4"/>
  <c r="AF54" i="4"/>
  <c r="AA54" i="4"/>
  <c r="Y54" i="4"/>
  <c r="T54" i="4"/>
  <c r="AM53" i="4"/>
  <c r="AK53" i="4"/>
  <c r="AH53" i="4"/>
  <c r="AF53" i="4"/>
  <c r="AA53" i="4"/>
  <c r="Y53" i="4"/>
  <c r="T53" i="4"/>
  <c r="AM52" i="4"/>
  <c r="AK52" i="4"/>
  <c r="AH52" i="4"/>
  <c r="AF52" i="4"/>
  <c r="AA52" i="4"/>
  <c r="Y52" i="4"/>
  <c r="T52" i="4"/>
  <c r="AM51" i="4"/>
  <c r="AK51" i="4"/>
  <c r="AH51" i="4"/>
  <c r="AF51" i="4"/>
  <c r="AA51" i="4"/>
  <c r="Y51" i="4"/>
  <c r="T51" i="4"/>
  <c r="AL50" i="4"/>
  <c r="AL58" i="4" s="1"/>
  <c r="AJ50" i="4"/>
  <c r="AJ58" i="4" s="1"/>
  <c r="AG50" i="4"/>
  <c r="AG58" i="4" s="1"/>
  <c r="AE50" i="4"/>
  <c r="AE58" i="4" s="1"/>
  <c r="Z50" i="4"/>
  <c r="Z58" i="4" s="1"/>
  <c r="X50" i="4"/>
  <c r="X58" i="4" s="1"/>
  <c r="S50" i="4"/>
  <c r="S58" i="4" s="1"/>
  <c r="F50" i="4"/>
  <c r="AL49" i="4"/>
  <c r="AL57" i="4" s="1"/>
  <c r="AJ49" i="4"/>
  <c r="AJ57" i="4" s="1"/>
  <c r="AG49" i="4"/>
  <c r="AG57" i="4" s="1"/>
  <c r="AE49" i="4"/>
  <c r="AE57" i="4" s="1"/>
  <c r="Z49" i="4"/>
  <c r="Z57" i="4" s="1"/>
  <c r="X49" i="4"/>
  <c r="X57" i="4" s="1"/>
  <c r="S49" i="4"/>
  <c r="S57" i="4" s="1"/>
  <c r="F49" i="4"/>
  <c r="AM48" i="4"/>
  <c r="AK48" i="4"/>
  <c r="AH48" i="4"/>
  <c r="AF48" i="4"/>
  <c r="AA48" i="4"/>
  <c r="Y48" i="4"/>
  <c r="T48" i="4"/>
  <c r="AM46" i="4"/>
  <c r="AK46" i="4"/>
  <c r="AH46" i="4"/>
  <c r="AF46" i="4"/>
  <c r="AA46" i="4"/>
  <c r="Y46" i="4"/>
  <c r="T46" i="4"/>
  <c r="AM45" i="4"/>
  <c r="AK45" i="4"/>
  <c r="AH45" i="4"/>
  <c r="AF45" i="4"/>
  <c r="AA45" i="4"/>
  <c r="Y45" i="4"/>
  <c r="T45" i="4"/>
  <c r="AM44" i="4"/>
  <c r="AK44" i="4"/>
  <c r="AH44" i="4"/>
  <c r="AF44" i="4"/>
  <c r="AA44" i="4"/>
  <c r="Y44" i="4"/>
  <c r="T44" i="4"/>
  <c r="AM43" i="4"/>
  <c r="AK43" i="4"/>
  <c r="AH43" i="4"/>
  <c r="AF43" i="4"/>
  <c r="AA43" i="4"/>
  <c r="AA50" i="4" s="1"/>
  <c r="AA58" i="4" s="1"/>
  <c r="Y43" i="4"/>
  <c r="T43" i="4"/>
  <c r="AM42" i="4"/>
  <c r="AK42" i="4"/>
  <c r="AH42" i="4"/>
  <c r="AF42" i="4"/>
  <c r="AA42" i="4"/>
  <c r="Y42" i="4"/>
  <c r="T42" i="4"/>
  <c r="AM41" i="4"/>
  <c r="AK41" i="4"/>
  <c r="AH41" i="4"/>
  <c r="AF41" i="4"/>
  <c r="AA41" i="4"/>
  <c r="Y41" i="4"/>
  <c r="T41" i="4"/>
  <c r="AM40" i="4"/>
  <c r="AK40" i="4"/>
  <c r="AH40" i="4"/>
  <c r="AF40" i="4"/>
  <c r="AA40" i="4"/>
  <c r="Y40" i="4"/>
  <c r="T40" i="4"/>
  <c r="AM39" i="4"/>
  <c r="AK39" i="4"/>
  <c r="AH39" i="4"/>
  <c r="AF39" i="4"/>
  <c r="AA39" i="4"/>
  <c r="Y39" i="4"/>
  <c r="T39" i="4"/>
  <c r="AM38" i="4"/>
  <c r="AK38" i="4"/>
  <c r="AH38" i="4"/>
  <c r="AF38" i="4"/>
  <c r="AA38" i="4"/>
  <c r="Y38" i="4"/>
  <c r="T38" i="4"/>
  <c r="AL37" i="4"/>
  <c r="AL56" i="4" s="1"/>
  <c r="AJ37" i="4"/>
  <c r="AJ56" i="4" s="1"/>
  <c r="AG37" i="4"/>
  <c r="AG56" i="4" s="1"/>
  <c r="AE37" i="4"/>
  <c r="AE56" i="4" s="1"/>
  <c r="Z37" i="4"/>
  <c r="Z56" i="4" s="1"/>
  <c r="X37" i="4"/>
  <c r="X56" i="4" s="1"/>
  <c r="S37" i="4"/>
  <c r="S56" i="4" s="1"/>
  <c r="F37" i="4"/>
  <c r="AM36" i="4"/>
  <c r="AK36" i="4"/>
  <c r="AH36" i="4"/>
  <c r="AF36" i="4"/>
  <c r="AA36" i="4"/>
  <c r="Y36" i="4"/>
  <c r="T36" i="4"/>
  <c r="AM35" i="4"/>
  <c r="AK35" i="4"/>
  <c r="AH35" i="4"/>
  <c r="AF35" i="4"/>
  <c r="AA35" i="4"/>
  <c r="Y35" i="4"/>
  <c r="T35" i="4"/>
  <c r="AM34" i="4"/>
  <c r="AK34" i="4"/>
  <c r="AH34" i="4"/>
  <c r="AF34" i="4"/>
  <c r="AA34" i="4"/>
  <c r="Y34" i="4"/>
  <c r="T34" i="4"/>
  <c r="AM33" i="4"/>
  <c r="AK33" i="4"/>
  <c r="AH33" i="4"/>
  <c r="AF33" i="4"/>
  <c r="AA33" i="4"/>
  <c r="Y33" i="4"/>
  <c r="T33" i="4"/>
  <c r="AM32" i="4"/>
  <c r="AK32" i="4"/>
  <c r="AH32" i="4"/>
  <c r="AF32" i="4"/>
  <c r="AA32" i="4"/>
  <c r="Y32" i="4"/>
  <c r="T32" i="4"/>
  <c r="AM31" i="4"/>
  <c r="AK31" i="4"/>
  <c r="AH31" i="4"/>
  <c r="AF31" i="4"/>
  <c r="AA31" i="4"/>
  <c r="Y31" i="4"/>
  <c r="T31" i="4"/>
  <c r="AM30" i="4"/>
  <c r="AK30" i="4"/>
  <c r="AH30" i="4"/>
  <c r="AF30" i="4"/>
  <c r="AA30" i="4"/>
  <c r="Y30" i="4"/>
  <c r="T30" i="4"/>
  <c r="AM29" i="4"/>
  <c r="AK29" i="4"/>
  <c r="AH29" i="4"/>
  <c r="AF29" i="4"/>
  <c r="AA29" i="4"/>
  <c r="Y29" i="4"/>
  <c r="T29" i="4"/>
  <c r="AM28" i="4"/>
  <c r="AK28" i="4"/>
  <c r="AH28" i="4"/>
  <c r="AF28" i="4"/>
  <c r="AA28" i="4"/>
  <c r="Y28" i="4"/>
  <c r="T28" i="4"/>
  <c r="AM27" i="4"/>
  <c r="AK27" i="4"/>
  <c r="AH27" i="4"/>
  <c r="AF27" i="4"/>
  <c r="AA27" i="4"/>
  <c r="Y27" i="4"/>
  <c r="T27" i="4"/>
  <c r="AM26" i="4"/>
  <c r="AK26" i="4"/>
  <c r="AH26" i="4"/>
  <c r="AF26" i="4"/>
  <c r="AA26" i="4"/>
  <c r="Y26" i="4"/>
  <c r="T26" i="4"/>
  <c r="AM25" i="4"/>
  <c r="AK25" i="4"/>
  <c r="AH25" i="4"/>
  <c r="AF25" i="4"/>
  <c r="AA25" i="4"/>
  <c r="Y25" i="4"/>
  <c r="T25" i="4"/>
  <c r="AM24" i="4"/>
  <c r="AK24" i="4"/>
  <c r="AH24" i="4"/>
  <c r="AF24" i="4"/>
  <c r="AA24" i="4"/>
  <c r="Y24" i="4"/>
  <c r="T24" i="4"/>
  <c r="AM23" i="4"/>
  <c r="AK23" i="4"/>
  <c r="AH23" i="4"/>
  <c r="AF23" i="4"/>
  <c r="AA23" i="4"/>
  <c r="Y23" i="4"/>
  <c r="T23" i="4"/>
  <c r="AM22" i="4"/>
  <c r="AK22" i="4"/>
  <c r="AH22" i="4"/>
  <c r="AF22" i="4"/>
  <c r="AA22" i="4"/>
  <c r="Y22" i="4"/>
  <c r="T22" i="4"/>
  <c r="AM21" i="4"/>
  <c r="AK21" i="4"/>
  <c r="AH21" i="4"/>
  <c r="AF21" i="4"/>
  <c r="AA21" i="4"/>
  <c r="Y21" i="4"/>
  <c r="T21" i="4"/>
  <c r="AM20" i="4"/>
  <c r="AK20" i="4"/>
  <c r="AH20" i="4"/>
  <c r="AF20" i="4"/>
  <c r="AA20" i="4"/>
  <c r="Y20" i="4"/>
  <c r="T20" i="4"/>
  <c r="AM19" i="4"/>
  <c r="AK19" i="4"/>
  <c r="AH19" i="4"/>
  <c r="AF19" i="4"/>
  <c r="AA19" i="4"/>
  <c r="Y19" i="4"/>
  <c r="T19" i="4"/>
  <c r="AM18" i="4"/>
  <c r="AK18" i="4"/>
  <c r="AH18" i="4"/>
  <c r="AF18" i="4"/>
  <c r="AA18" i="4"/>
  <c r="Y18" i="4"/>
  <c r="T18" i="4"/>
  <c r="AM17" i="4"/>
  <c r="AK17" i="4"/>
  <c r="AH17" i="4"/>
  <c r="AF17" i="4"/>
  <c r="AA17" i="4"/>
  <c r="Y17" i="4"/>
  <c r="T17" i="4"/>
  <c r="AM16" i="4"/>
  <c r="AL16" i="4"/>
  <c r="N24" i="13" l="1"/>
  <c r="N27" i="13" s="1"/>
  <c r="N44" i="13" s="1"/>
  <c r="N47" i="13" s="1"/>
  <c r="N33" i="13"/>
  <c r="G20" i="8"/>
  <c r="H33" i="11"/>
  <c r="P58" i="11"/>
  <c r="S58" i="11"/>
  <c r="AB62" i="5"/>
  <c r="P62" i="5"/>
  <c r="AD62" i="5"/>
  <c r="AB61" i="5"/>
  <c r="U63" i="5"/>
  <c r="AD63" i="5"/>
  <c r="AI62" i="5"/>
  <c r="U62" i="5"/>
  <c r="T55" i="4"/>
  <c r="T59" i="4" s="1"/>
  <c r="G24" i="25"/>
  <c r="U27" i="21"/>
  <c r="V12" i="20"/>
  <c r="V29" i="20" s="1"/>
  <c r="AD61" i="5"/>
  <c r="U61" i="5"/>
  <c r="U77" i="10"/>
  <c r="U76" i="10" s="1"/>
  <c r="K27" i="7"/>
  <c r="L10" i="10"/>
  <c r="L9" i="10" s="1"/>
  <c r="M25" i="10"/>
  <c r="L45" i="10"/>
  <c r="L66" i="10"/>
  <c r="L77" i="10"/>
  <c r="I12" i="11"/>
  <c r="S23" i="11"/>
  <c r="J24" i="12"/>
  <c r="L8" i="15"/>
  <c r="Y12" i="20"/>
  <c r="Y29" i="20" s="1"/>
  <c r="F18" i="25"/>
  <c r="F22" i="25"/>
  <c r="F27" i="25" s="1"/>
  <c r="K18" i="30"/>
  <c r="K17" i="30" s="1"/>
  <c r="K51" i="30" s="1"/>
  <c r="K25" i="30"/>
  <c r="K24" i="30" s="1"/>
  <c r="K28" i="30"/>
  <c r="K27" i="30" s="1"/>
  <c r="F36" i="34"/>
  <c r="F38" i="34" s="1"/>
  <c r="L36" i="34"/>
  <c r="L38" i="34" s="1"/>
  <c r="L17" i="35"/>
  <c r="AM37" i="4"/>
  <c r="AM56" i="4" s="1"/>
  <c r="AK55" i="4"/>
  <c r="AK59" i="4" s="1"/>
  <c r="AI61" i="5"/>
  <c r="W63" i="5"/>
  <c r="AG63" i="5"/>
  <c r="U10" i="10"/>
  <c r="U9" i="10" s="1"/>
  <c r="AM49" i="4"/>
  <c r="AM57" i="4" s="1"/>
  <c r="AK50" i="4"/>
  <c r="AK58" i="4" s="1"/>
  <c r="AH55" i="4"/>
  <c r="AH59" i="4" s="1"/>
  <c r="W62" i="5"/>
  <c r="E27" i="7"/>
  <c r="N30" i="7"/>
  <c r="G26" i="8"/>
  <c r="K33" i="13"/>
  <c r="AI22" i="16"/>
  <c r="AA12" i="20"/>
  <c r="N29" i="20"/>
  <c r="O40" i="20"/>
  <c r="O57" i="20" s="1"/>
  <c r="Y27" i="21"/>
  <c r="N27" i="21"/>
  <c r="F14" i="24"/>
  <c r="F13" i="24" s="1"/>
  <c r="E8" i="25"/>
  <c r="E24" i="25" s="1"/>
  <c r="F17" i="25"/>
  <c r="H11" i="26"/>
  <c r="S11" i="26"/>
  <c r="I15" i="30"/>
  <c r="K15" i="30" s="1"/>
  <c r="G36" i="34"/>
  <c r="G38" i="34" s="1"/>
  <c r="M36" i="34"/>
  <c r="M38" i="34" s="1"/>
  <c r="J37" i="28"/>
  <c r="H51" i="30"/>
  <c r="G51" i="30" s="1"/>
  <c r="L27" i="32"/>
  <c r="M49" i="33"/>
  <c r="M50" i="33" s="1"/>
  <c r="Z97" i="10"/>
  <c r="Z76" i="10" s="1"/>
  <c r="Z107" i="10" s="1"/>
  <c r="S33" i="11"/>
  <c r="S12" i="11" s="1"/>
  <c r="P33" i="11"/>
  <c r="P12" i="11" s="1"/>
  <c r="N36" i="13"/>
  <c r="M10" i="14"/>
  <c r="P81" i="14"/>
  <c r="J8" i="15"/>
  <c r="K8" i="15" s="1"/>
  <c r="I8" i="15"/>
  <c r="W22" i="16"/>
  <c r="AC12" i="20"/>
  <c r="AC29" i="20" s="1"/>
  <c r="P12" i="20"/>
  <c r="P29" i="20" s="1"/>
  <c r="H9" i="25"/>
  <c r="H8" i="25" s="1"/>
  <c r="H24" i="25" s="1"/>
  <c r="D27" i="25"/>
  <c r="E28" i="25"/>
  <c r="K46" i="30"/>
  <c r="K45" i="30" s="1"/>
  <c r="N26" i="32"/>
  <c r="F25" i="32"/>
  <c r="F26" i="32"/>
  <c r="N49" i="33"/>
  <c r="N50" i="33" s="1"/>
  <c r="I36" i="34"/>
  <c r="I38" i="34" s="1"/>
  <c r="O36" i="34"/>
  <c r="O38" i="34" s="1"/>
  <c r="T13" i="11"/>
  <c r="T12" i="11" s="1"/>
  <c r="W61" i="5"/>
  <c r="W65" i="5" s="1"/>
  <c r="P61" i="5"/>
  <c r="P63" i="5"/>
  <c r="U66" i="10"/>
  <c r="U55" i="10" s="1"/>
  <c r="AG61" i="5"/>
  <c r="AB63" i="5"/>
  <c r="I29" i="7"/>
  <c r="P29" i="7"/>
  <c r="P36" i="7" s="1"/>
  <c r="P107" i="10"/>
  <c r="G12" i="11"/>
  <c r="K24" i="13"/>
  <c r="K42" i="13"/>
  <c r="G11" i="14"/>
  <c r="I44" i="14"/>
  <c r="I10" i="14" s="1"/>
  <c r="O56" i="21"/>
  <c r="D26" i="25"/>
  <c r="E27" i="25"/>
  <c r="G28" i="25"/>
  <c r="D14" i="25"/>
  <c r="E19" i="25"/>
  <c r="K13" i="30"/>
  <c r="P50" i="33"/>
  <c r="L50" i="33"/>
  <c r="P13" i="34"/>
  <c r="F10" i="15"/>
  <c r="G10" i="15" s="1"/>
  <c r="F13" i="15"/>
  <c r="G13" i="15" s="1"/>
  <c r="D31" i="34"/>
  <c r="F18" i="15"/>
  <c r="J31" i="34"/>
  <c r="F27" i="15"/>
  <c r="P27" i="34"/>
  <c r="P28" i="34"/>
  <c r="D32" i="34"/>
  <c r="H44" i="36"/>
  <c r="I17" i="35"/>
  <c r="M17" i="35" s="1"/>
  <c r="P17" i="35" s="1"/>
  <c r="O22" i="35"/>
  <c r="R17" i="35"/>
  <c r="L60" i="39"/>
  <c r="N107" i="10"/>
  <c r="M55" i="10"/>
  <c r="P27" i="21"/>
  <c r="AI63" i="5"/>
  <c r="O107" i="10"/>
  <c r="U45" i="10"/>
  <c r="AA37" i="4"/>
  <c r="AA56" i="4" s="1"/>
  <c r="Y55" i="4"/>
  <c r="Y59" i="4" s="1"/>
  <c r="N26" i="7"/>
  <c r="Y35" i="10"/>
  <c r="Y9" i="10" s="1"/>
  <c r="Y107" i="10" s="1"/>
  <c r="L97" i="10"/>
  <c r="H12" i="11"/>
  <c r="F10" i="14"/>
  <c r="P11" i="14"/>
  <c r="P10" i="14" s="1"/>
  <c r="H44" i="14"/>
  <c r="H10" i="14" s="1"/>
  <c r="S44" i="14"/>
  <c r="S10" i="14" s="1"/>
  <c r="H81" i="14"/>
  <c r="V22" i="17"/>
  <c r="P19" i="21"/>
  <c r="F23" i="25"/>
  <c r="P12" i="26"/>
  <c r="P11" i="26" s="1"/>
  <c r="K40" i="30"/>
  <c r="K39" i="30" s="1"/>
  <c r="P12" i="34"/>
  <c r="K36" i="34"/>
  <c r="K38" i="34" s="1"/>
  <c r="N17" i="35"/>
  <c r="N22" i="35"/>
  <c r="Q61" i="39"/>
  <c r="G7" i="15"/>
  <c r="H7" i="15" s="1"/>
  <c r="I7" i="15" s="1"/>
  <c r="J7" i="15" s="1"/>
  <c r="K7" i="15" s="1"/>
  <c r="L7" i="15" s="1"/>
  <c r="M7" i="15" s="1"/>
  <c r="D7" i="15"/>
  <c r="S43" i="11"/>
  <c r="T43" i="11"/>
  <c r="H46" i="36"/>
  <c r="H53" i="36" s="1"/>
  <c r="G37" i="9"/>
  <c r="Q25" i="39"/>
  <c r="H32" i="39"/>
  <c r="I10" i="39"/>
  <c r="I32" i="39" s="1"/>
  <c r="Q18" i="39"/>
  <c r="R11" i="39"/>
  <c r="R66" i="39" s="1"/>
  <c r="M66" i="39"/>
  <c r="D9" i="25"/>
  <c r="D8" i="25" s="1"/>
  <c r="D24" i="25" s="1"/>
  <c r="F10" i="25"/>
  <c r="F20" i="25"/>
  <c r="F19" i="25" s="1"/>
  <c r="C27" i="25"/>
  <c r="C9" i="25"/>
  <c r="C8" i="25" s="1"/>
  <c r="F13" i="25"/>
  <c r="T37" i="4"/>
  <c r="T56" i="4" s="1"/>
  <c r="AE60" i="4"/>
  <c r="T49" i="4"/>
  <c r="T57" i="4" s="1"/>
  <c r="AF49" i="4"/>
  <c r="AF57" i="4" s="1"/>
  <c r="AH49" i="4"/>
  <c r="AH57" i="4" s="1"/>
  <c r="Y50" i="4"/>
  <c r="Y58" i="4" s="1"/>
  <c r="AA55" i="4"/>
  <c r="AA59" i="4" s="1"/>
  <c r="AM55" i="4"/>
  <c r="AM59" i="4" s="1"/>
  <c r="AK37" i="4"/>
  <c r="AK56" i="4" s="1"/>
  <c r="S60" i="4"/>
  <c r="AG60" i="4"/>
  <c r="Y49" i="4"/>
  <c r="Y57" i="4" s="1"/>
  <c r="AK49" i="4"/>
  <c r="AK57" i="4" s="1"/>
  <c r="AM50" i="4"/>
  <c r="AM58" i="4" s="1"/>
  <c r="AF55" i="4"/>
  <c r="AF59" i="4" s="1"/>
  <c r="AJ60" i="4"/>
  <c r="AA49" i="4"/>
  <c r="AA57" i="4" s="1"/>
  <c r="AF50" i="4"/>
  <c r="AF58" i="4" s="1"/>
  <c r="AF37" i="4"/>
  <c r="AF56" i="4" s="1"/>
  <c r="AH37" i="4"/>
  <c r="AH56" i="4" s="1"/>
  <c r="Y37" i="4"/>
  <c r="Y56" i="4" s="1"/>
  <c r="Z60" i="4"/>
  <c r="AL60" i="4"/>
  <c r="T50" i="4"/>
  <c r="T58" i="4" s="1"/>
  <c r="AH50" i="4"/>
  <c r="AH58" i="4" s="1"/>
  <c r="T17" i="39"/>
  <c r="U17" i="39" s="1"/>
  <c r="O17" i="39"/>
  <c r="R63" i="39"/>
  <c r="M63" i="39"/>
  <c r="H63" i="39"/>
  <c r="I63" i="39"/>
  <c r="H54" i="39"/>
  <c r="K63" i="39"/>
  <c r="J63" i="39"/>
  <c r="H62" i="39"/>
  <c r="U11" i="39"/>
  <c r="G11" i="39"/>
  <c r="M10" i="39"/>
  <c r="L11" i="39"/>
  <c r="G17" i="39"/>
  <c r="G43" i="11"/>
  <c r="H58" i="11"/>
  <c r="H26" i="7"/>
  <c r="P51" i="11"/>
  <c r="P43" i="11" s="1"/>
  <c r="K26" i="7"/>
  <c r="O17" i="35"/>
  <c r="J17" i="35"/>
  <c r="S22" i="35"/>
  <c r="S17" i="35" s="1"/>
  <c r="G53" i="36"/>
  <c r="A36" i="36"/>
  <c r="E35" i="36"/>
  <c r="H110" i="36"/>
  <c r="J7" i="36"/>
  <c r="I23" i="36"/>
  <c r="E34" i="36"/>
  <c r="G30" i="36"/>
  <c r="H36" i="34"/>
  <c r="H38" i="34" s="1"/>
  <c r="N36" i="34"/>
  <c r="N38" i="34" s="1"/>
  <c r="F27" i="32"/>
  <c r="P31" i="34"/>
  <c r="D36" i="34"/>
  <c r="P32" i="34"/>
  <c r="J50" i="33"/>
  <c r="C27" i="33"/>
  <c r="C30" i="33" s="1"/>
  <c r="C33" i="33" s="1"/>
  <c r="D24" i="33"/>
  <c r="B14" i="32"/>
  <c r="B17" i="32"/>
  <c r="B20" i="32"/>
  <c r="B23" i="32"/>
  <c r="B27" i="32"/>
  <c r="D18" i="33"/>
  <c r="F60" i="33"/>
  <c r="D33" i="34"/>
  <c r="P33" i="34" s="1"/>
  <c r="N25" i="32"/>
  <c r="K27" i="32"/>
  <c r="F59" i="33"/>
  <c r="P26" i="34"/>
  <c r="B15" i="32"/>
  <c r="B18" i="32"/>
  <c r="B21" i="32"/>
  <c r="B24" i="32"/>
  <c r="B26" i="32"/>
  <c r="D21" i="33"/>
  <c r="D30" i="33"/>
  <c r="O48" i="33"/>
  <c r="O50" i="33" s="1"/>
  <c r="H60" i="33"/>
  <c r="I60" i="33" s="1"/>
  <c r="C12" i="32"/>
  <c r="J48" i="33"/>
  <c r="H59" i="33" s="1"/>
  <c r="B13" i="32"/>
  <c r="B16" i="32"/>
  <c r="B19" i="32"/>
  <c r="B22" i="32"/>
  <c r="K25" i="32"/>
  <c r="D15" i="33"/>
  <c r="K48" i="33"/>
  <c r="K50" i="33" s="1"/>
  <c r="E36" i="34"/>
  <c r="E38" i="34" s="1"/>
  <c r="AP8" i="22"/>
  <c r="AO8" i="22"/>
  <c r="G10" i="14"/>
  <c r="R10" i="14"/>
  <c r="K27" i="13"/>
  <c r="K44" i="13" s="1"/>
  <c r="K47" i="13" s="1"/>
  <c r="K36" i="13"/>
  <c r="K30" i="13"/>
  <c r="AH22" i="17"/>
  <c r="Z22" i="17"/>
  <c r="AB22" i="17" s="1"/>
  <c r="P56" i="21"/>
  <c r="AF64" i="22"/>
  <c r="AH9" i="22"/>
  <c r="AH64" i="22" s="1"/>
  <c r="N30" i="13"/>
  <c r="Y64" i="23"/>
  <c r="R27" i="21"/>
  <c r="F21" i="25"/>
  <c r="F26" i="25" s="1"/>
  <c r="C19" i="25"/>
  <c r="G37" i="28"/>
  <c r="G29" i="28"/>
  <c r="AA22" i="16"/>
  <c r="AC22" i="16" s="1"/>
  <c r="F15" i="25"/>
  <c r="F14" i="25" s="1"/>
  <c r="C14" i="25"/>
  <c r="X64" i="22"/>
  <c r="F9" i="25"/>
  <c r="C26" i="25"/>
  <c r="C28" i="25"/>
  <c r="AA64" i="23"/>
  <c r="C19" i="26"/>
  <c r="C22" i="26"/>
  <c r="C20" i="26"/>
  <c r="C25" i="25"/>
  <c r="I11" i="26"/>
  <c r="C21" i="26"/>
  <c r="I37" i="28"/>
  <c r="I19" i="30"/>
  <c r="K19" i="30" s="1"/>
  <c r="E37" i="28"/>
  <c r="H43" i="11"/>
  <c r="M9" i="10"/>
  <c r="L55" i="10"/>
  <c r="P15" i="9"/>
  <c r="P16" i="9" s="1"/>
  <c r="L51" i="9"/>
  <c r="M51" i="9"/>
  <c r="Q15" i="9"/>
  <c r="Q16" i="9" s="1"/>
  <c r="H51" i="9"/>
  <c r="N51" i="9"/>
  <c r="O15" i="9"/>
  <c r="O16" i="9" s="1"/>
  <c r="I51" i="9"/>
  <c r="O51" i="9"/>
  <c r="H37" i="9"/>
  <c r="G5" i="9"/>
  <c r="N15" i="9"/>
  <c r="N16" i="9" s="1"/>
  <c r="N37" i="9" s="1"/>
  <c r="F11" i="8"/>
  <c r="F10" i="8" s="1"/>
  <c r="F7" i="8" s="1"/>
  <c r="F6" i="8" s="1"/>
  <c r="F5" i="8" s="1"/>
  <c r="E11" i="8"/>
  <c r="E35" i="8"/>
  <c r="G35" i="8" s="1"/>
  <c r="O36" i="7"/>
  <c r="O32" i="7" s="1"/>
  <c r="O33" i="7" s="1"/>
  <c r="N29" i="7"/>
  <c r="E26" i="7"/>
  <c r="B41" i="6"/>
  <c r="F41" i="6" s="1"/>
  <c r="B43" i="6"/>
  <c r="F43" i="6" s="1"/>
  <c r="B47" i="6"/>
  <c r="F47" i="6" s="1"/>
  <c r="B40" i="6"/>
  <c r="F40" i="6" s="1"/>
  <c r="B42" i="6"/>
  <c r="F42" i="6" s="1"/>
  <c r="B44" i="6"/>
  <c r="F44" i="6" s="1"/>
  <c r="B46" i="6"/>
  <c r="F46" i="6" s="1"/>
  <c r="B39" i="6"/>
  <c r="F39" i="6" s="1"/>
  <c r="B45" i="6"/>
  <c r="F45" i="6" s="1"/>
  <c r="X60" i="4"/>
  <c r="AB65" i="5" l="1"/>
  <c r="U65" i="5"/>
  <c r="AD65" i="5"/>
  <c r="Y60" i="4"/>
  <c r="AK60" i="4"/>
  <c r="D14" i="24"/>
  <c r="D13" i="24" s="1"/>
  <c r="F8" i="25"/>
  <c r="AG65" i="5"/>
  <c r="M107" i="10"/>
  <c r="F9" i="15"/>
  <c r="R10" i="39"/>
  <c r="S10" i="39" s="1"/>
  <c r="S32" i="39" s="1"/>
  <c r="AM60" i="4"/>
  <c r="J36" i="34"/>
  <c r="J38" i="34" s="1"/>
  <c r="F26" i="15"/>
  <c r="G26" i="15" s="1"/>
  <c r="AA29" i="20"/>
  <c r="U107" i="10"/>
  <c r="L76" i="10"/>
  <c r="L107" i="10" s="1"/>
  <c r="I24" i="39"/>
  <c r="D27" i="33"/>
  <c r="I62" i="39"/>
  <c r="F28" i="25"/>
  <c r="F17" i="15"/>
  <c r="P65" i="5"/>
  <c r="AA60" i="4"/>
  <c r="C24" i="25"/>
  <c r="AI65" i="5"/>
  <c r="L66" i="39"/>
  <c r="N10" i="39"/>
  <c r="M32" i="39"/>
  <c r="R32" i="39"/>
  <c r="J10" i="39"/>
  <c r="J24" i="39" s="1"/>
  <c r="G66" i="39"/>
  <c r="Q11" i="39"/>
  <c r="U66" i="39"/>
  <c r="Q63" i="39"/>
  <c r="Q60" i="39"/>
  <c r="F24" i="25"/>
  <c r="AH60" i="4"/>
  <c r="AF60" i="4"/>
  <c r="T60" i="4"/>
  <c r="Q17" i="39"/>
  <c r="P17" i="39"/>
  <c r="N63" i="39"/>
  <c r="I54" i="39"/>
  <c r="U63" i="39"/>
  <c r="O63" i="39"/>
  <c r="S63" i="39"/>
  <c r="T63" i="39"/>
  <c r="M62" i="39"/>
  <c r="M24" i="39"/>
  <c r="G9" i="15"/>
  <c r="I110" i="36"/>
  <c r="K7" i="36"/>
  <c r="G51" i="36"/>
  <c r="G29" i="36"/>
  <c r="I44" i="36"/>
  <c r="I46" i="36"/>
  <c r="I53" i="36" s="1"/>
  <c r="J23" i="36"/>
  <c r="A37" i="36"/>
  <c r="E36" i="36"/>
  <c r="I59" i="33"/>
  <c r="I61" i="33" s="1"/>
  <c r="H61" i="33"/>
  <c r="C36" i="33"/>
  <c r="D33" i="33"/>
  <c r="F61" i="33"/>
  <c r="D38" i="34"/>
  <c r="J60" i="33"/>
  <c r="F25" i="25"/>
  <c r="O37" i="9"/>
  <c r="E10" i="8"/>
  <c r="G11" i="8"/>
  <c r="I10" i="7" l="1"/>
  <c r="N31" i="7" s="1"/>
  <c r="P36" i="34"/>
  <c r="R24" i="39"/>
  <c r="R62" i="39"/>
  <c r="T10" i="39"/>
  <c r="G17" i="15"/>
  <c r="F16" i="15"/>
  <c r="P38" i="34"/>
  <c r="J59" i="33"/>
  <c r="J61" i="33"/>
  <c r="L61" i="33" s="1"/>
  <c r="O10" i="39"/>
  <c r="O32" i="39" s="1"/>
  <c r="N32" i="39"/>
  <c r="J32" i="39"/>
  <c r="K10" i="39"/>
  <c r="J62" i="39"/>
  <c r="Q66" i="39"/>
  <c r="X9" i="6"/>
  <c r="L17" i="39"/>
  <c r="P63" i="39"/>
  <c r="S62" i="39"/>
  <c r="S24" i="39"/>
  <c r="N62" i="39"/>
  <c r="N24" i="39"/>
  <c r="J54" i="39"/>
  <c r="M54" i="39"/>
  <c r="A38" i="36"/>
  <c r="E37" i="36"/>
  <c r="G72" i="36"/>
  <c r="G20" i="36"/>
  <c r="G8" i="36"/>
  <c r="G115" i="36" s="1"/>
  <c r="G117" i="36" s="1"/>
  <c r="L7" i="36"/>
  <c r="J46" i="36"/>
  <c r="J53" i="36" s="1"/>
  <c r="K23" i="36"/>
  <c r="J44" i="36"/>
  <c r="G60" i="36"/>
  <c r="J110" i="36"/>
  <c r="C39" i="33"/>
  <c r="D36" i="33"/>
  <c r="P37" i="9"/>
  <c r="G10" i="8"/>
  <c r="E7" i="8"/>
  <c r="G16" i="15" l="1"/>
  <c r="F8" i="15"/>
  <c r="G8" i="15" s="1"/>
  <c r="H32" i="7"/>
  <c r="F10" i="7"/>
  <c r="P31" i="7"/>
  <c r="P35" i="7" s="1"/>
  <c r="P32" i="7" s="1"/>
  <c r="P33" i="7" s="1"/>
  <c r="N32" i="7"/>
  <c r="U10" i="39"/>
  <c r="U62" i="39" s="1"/>
  <c r="T32" i="39"/>
  <c r="G10" i="39"/>
  <c r="K32" i="39"/>
  <c r="K54" i="39" s="1"/>
  <c r="G54" i="39" s="1"/>
  <c r="K24" i="39"/>
  <c r="K62" i="39"/>
  <c r="P10" i="39"/>
  <c r="P62" i="39" s="1"/>
  <c r="T62" i="39"/>
  <c r="T24" i="39"/>
  <c r="O62" i="39"/>
  <c r="O24" i="39"/>
  <c r="P24" i="39"/>
  <c r="N54" i="39"/>
  <c r="S54" i="39" s="1"/>
  <c r="R54" i="39"/>
  <c r="G57" i="36"/>
  <c r="K110" i="36"/>
  <c r="K46" i="36"/>
  <c r="K53" i="36" s="1"/>
  <c r="L23" i="36"/>
  <c r="K44" i="36"/>
  <c r="M7" i="36"/>
  <c r="G95" i="36"/>
  <c r="A39" i="36"/>
  <c r="E38" i="36"/>
  <c r="C42" i="33"/>
  <c r="D39" i="33"/>
  <c r="Q37" i="9"/>
  <c r="G7" i="8"/>
  <c r="E6" i="8"/>
  <c r="Q10" i="39" l="1"/>
  <c r="U32" i="39"/>
  <c r="G10" i="7"/>
  <c r="H31" i="7"/>
  <c r="J31" i="7" s="1"/>
  <c r="U24" i="39"/>
  <c r="P32" i="39"/>
  <c r="P54" i="39" s="1"/>
  <c r="U54" i="39" s="1"/>
  <c r="L10" i="39"/>
  <c r="O54" i="39"/>
  <c r="G106" i="36"/>
  <c r="G107" i="36" s="1"/>
  <c r="G108" i="36" s="1"/>
  <c r="G112" i="36"/>
  <c r="G93" i="36"/>
  <c r="G113" i="36" s="1"/>
  <c r="M23" i="36"/>
  <c r="L46" i="36"/>
  <c r="L53" i="36" s="1"/>
  <c r="L44" i="36"/>
  <c r="N7" i="36"/>
  <c r="L110" i="36"/>
  <c r="A40" i="36"/>
  <c r="E39" i="36"/>
  <c r="C45" i="33"/>
  <c r="D42" i="33"/>
  <c r="G6" i="8"/>
  <c r="E5" i="8"/>
  <c r="G5" i="8" s="1"/>
  <c r="T54" i="39" l="1"/>
  <c r="Q54" i="39" s="1"/>
  <c r="L54" i="39"/>
  <c r="H94" i="36"/>
  <c r="G111" i="36"/>
  <c r="M110" i="36"/>
  <c r="M44" i="36"/>
  <c r="M46" i="36"/>
  <c r="M53" i="36" s="1"/>
  <c r="N23" i="36"/>
  <c r="O7" i="36"/>
  <c r="A41" i="36"/>
  <c r="E40" i="36"/>
  <c r="G76" i="36"/>
  <c r="G73" i="36" s="1"/>
  <c r="G77" i="36" s="1"/>
  <c r="G80" i="36" s="1"/>
  <c r="G66" i="36"/>
  <c r="G62" i="36" s="1"/>
  <c r="G67" i="36" s="1"/>
  <c r="C48" i="33"/>
  <c r="D45" i="33"/>
  <c r="G85" i="36" l="1"/>
  <c r="G89" i="36"/>
  <c r="N44" i="36"/>
  <c r="O23" i="36"/>
  <c r="P23" i="36" s="1"/>
  <c r="N46" i="36"/>
  <c r="N53" i="36" s="1"/>
  <c r="A42" i="36"/>
  <c r="E41" i="36"/>
  <c r="K21" i="36"/>
  <c r="H102" i="36"/>
  <c r="H103" i="36" s="1"/>
  <c r="N21" i="36"/>
  <c r="O21" i="36"/>
  <c r="N110" i="36"/>
  <c r="C49" i="33"/>
  <c r="D48" i="33"/>
  <c r="N30" i="36" l="1"/>
  <c r="N29" i="36" s="1"/>
  <c r="N52" i="36"/>
  <c r="N51" i="36" s="1"/>
  <c r="E42" i="36"/>
  <c r="I21" i="36"/>
  <c r="P21" i="36"/>
  <c r="G725" i="53" s="1"/>
  <c r="H725" i="53" s="1"/>
  <c r="J21" i="36"/>
  <c r="L21" i="36"/>
  <c r="H21" i="36"/>
  <c r="O110" i="36"/>
  <c r="O44" i="36"/>
  <c r="O46" i="36"/>
  <c r="O53" i="36" s="1"/>
  <c r="K52" i="36"/>
  <c r="K51" i="36" s="1"/>
  <c r="K30" i="36"/>
  <c r="K29" i="36" s="1"/>
  <c r="O30" i="36"/>
  <c r="O52" i="36"/>
  <c r="M21" i="36"/>
  <c r="G86" i="36"/>
  <c r="G84" i="36" s="1"/>
  <c r="G88" i="36" s="1"/>
  <c r="C50" i="33"/>
  <c r="D50" i="33" s="1"/>
  <c r="D49" i="33"/>
  <c r="O29" i="36" l="1"/>
  <c r="O51" i="36"/>
  <c r="G90" i="36"/>
  <c r="G87" i="36" s="1"/>
  <c r="L52" i="36"/>
  <c r="L51" i="36" s="1"/>
  <c r="L30" i="36"/>
  <c r="L29" i="36" s="1"/>
  <c r="P52" i="36"/>
  <c r="G735" i="53" s="1"/>
  <c r="P30" i="36"/>
  <c r="G732" i="53" s="1"/>
  <c r="H30" i="36"/>
  <c r="H29" i="36" s="1"/>
  <c r="H52" i="36"/>
  <c r="H51" i="36" s="1"/>
  <c r="O8" i="36"/>
  <c r="O115" i="36" s="1"/>
  <c r="O117" i="36" s="1"/>
  <c r="P110" i="36"/>
  <c r="I30" i="36"/>
  <c r="I29" i="36" s="1"/>
  <c r="I52" i="36"/>
  <c r="I51" i="36" s="1"/>
  <c r="K8" i="36"/>
  <c r="K115" i="36" s="1"/>
  <c r="K117" i="36" s="1"/>
  <c r="K20" i="36"/>
  <c r="K72" i="36"/>
  <c r="K60" i="36"/>
  <c r="N60" i="36"/>
  <c r="P46" i="36"/>
  <c r="P44" i="36"/>
  <c r="N72" i="36"/>
  <c r="N20" i="36"/>
  <c r="M30" i="36"/>
  <c r="M29" i="36" s="1"/>
  <c r="M52" i="36"/>
  <c r="M51" i="36" s="1"/>
  <c r="J52" i="36"/>
  <c r="J51" i="36" s="1"/>
  <c r="J30" i="36"/>
  <c r="J29" i="36" s="1"/>
  <c r="H735" i="53" l="1"/>
  <c r="G737" i="53"/>
  <c r="H732" i="53"/>
  <c r="G734" i="53"/>
  <c r="O20" i="36"/>
  <c r="P53" i="36"/>
  <c r="P29" i="36"/>
  <c r="K57" i="36"/>
  <c r="O72" i="36"/>
  <c r="O60" i="36"/>
  <c r="O57" i="36" s="1"/>
  <c r="N57" i="36"/>
  <c r="H72" i="36"/>
  <c r="H20" i="36"/>
  <c r="H8" i="36"/>
  <c r="H115" i="36" s="1"/>
  <c r="H117" i="36" s="1"/>
  <c r="H118" i="36" s="1"/>
  <c r="N8" i="36"/>
  <c r="N115" i="36" s="1"/>
  <c r="N117" i="36" s="1"/>
  <c r="J8" i="36"/>
  <c r="J115" i="36" s="1"/>
  <c r="J117" i="36" s="1"/>
  <c r="J72" i="36"/>
  <c r="J20" i="36"/>
  <c r="I60" i="36"/>
  <c r="M72" i="36"/>
  <c r="M20" i="36"/>
  <c r="L60" i="36"/>
  <c r="J60" i="36"/>
  <c r="I8" i="36"/>
  <c r="I115" i="36" s="1"/>
  <c r="I117" i="36" s="1"/>
  <c r="I72" i="36"/>
  <c r="I20" i="36"/>
  <c r="M60" i="36"/>
  <c r="H60" i="36"/>
  <c r="L72" i="36"/>
  <c r="L20" i="36"/>
  <c r="H734" i="53" l="1"/>
  <c r="I223" i="53"/>
  <c r="J223" i="53" s="1"/>
  <c r="I222" i="53"/>
  <c r="H737" i="53"/>
  <c r="I118" i="36"/>
  <c r="J118" i="36"/>
  <c r="O118" i="36"/>
  <c r="K118" i="36"/>
  <c r="P51" i="36"/>
  <c r="P20" i="36" s="1"/>
  <c r="L57" i="36"/>
  <c r="I57" i="36"/>
  <c r="J57" i="36"/>
  <c r="H95" i="36"/>
  <c r="M8" i="36"/>
  <c r="M115" i="36" s="1"/>
  <c r="M117" i="36" s="1"/>
  <c r="N118" i="36" s="1"/>
  <c r="P8" i="36"/>
  <c r="P115" i="36" s="1"/>
  <c r="P117" i="36" s="1"/>
  <c r="P118" i="36" s="1"/>
  <c r="L8" i="36"/>
  <c r="L115" i="36" s="1"/>
  <c r="L117" i="36" s="1"/>
  <c r="L118" i="36" s="1"/>
  <c r="M57" i="36"/>
  <c r="H57" i="36"/>
  <c r="J222" i="53" l="1"/>
  <c r="I210" i="53"/>
  <c r="B743" i="53"/>
  <c r="P72" i="36"/>
  <c r="M118" i="36"/>
  <c r="P60" i="36"/>
  <c r="P57" i="36" s="1"/>
  <c r="H112" i="36"/>
  <c r="H106" i="36"/>
  <c r="H107" i="36" s="1"/>
  <c r="H108" i="36" s="1"/>
  <c r="H93" i="36"/>
  <c r="H113" i="36" s="1"/>
  <c r="I205" i="53" l="1"/>
  <c r="J210" i="53"/>
  <c r="B265" i="53"/>
  <c r="I94" i="36"/>
  <c r="H111" i="36"/>
  <c r="H66" i="36"/>
  <c r="H62" i="36" s="1"/>
  <c r="H67" i="36" s="1"/>
  <c r="H76" i="36"/>
  <c r="H73" i="36" s="1"/>
  <c r="H77" i="36" s="1"/>
  <c r="H80" i="36" s="1"/>
  <c r="B263" i="53" l="1"/>
  <c r="J205" i="53"/>
  <c r="G1140" i="53"/>
  <c r="H85" i="36"/>
  <c r="H89" i="36"/>
  <c r="I102" i="36"/>
  <c r="I103" i="36" s="1"/>
  <c r="H1140" i="53" l="1"/>
  <c r="G1142" i="53"/>
  <c r="H1142" i="53" s="1"/>
  <c r="B1148" i="53" s="1"/>
  <c r="I95" i="36"/>
  <c r="H86" i="36"/>
  <c r="H84" i="36" s="1"/>
  <c r="H88" i="36" s="1"/>
  <c r="H90" i="36" l="1"/>
  <c r="H87" i="36" s="1"/>
  <c r="I112" i="36"/>
  <c r="I106" i="36"/>
  <c r="I107" i="36" s="1"/>
  <c r="I108" i="36" s="1"/>
  <c r="I93" i="36"/>
  <c r="I113" i="36" s="1"/>
  <c r="J94" i="36" l="1"/>
  <c r="I111" i="36"/>
  <c r="I66" i="36"/>
  <c r="I62" i="36" s="1"/>
  <c r="I67" i="36" s="1"/>
  <c r="I76" i="36"/>
  <c r="I73" i="36" s="1"/>
  <c r="I77" i="36" s="1"/>
  <c r="I80" i="36" s="1"/>
  <c r="I89" i="36" l="1"/>
  <c r="I85" i="36"/>
  <c r="J102" i="36"/>
  <c r="J103" i="36" s="1"/>
  <c r="J95" i="36" l="1"/>
  <c r="I86" i="36"/>
  <c r="I84" i="36" s="1"/>
  <c r="I88" i="36" s="1"/>
  <c r="I90" i="36" l="1"/>
  <c r="I87" i="36" s="1"/>
  <c r="J112" i="36"/>
  <c r="J106" i="36"/>
  <c r="J107" i="36" s="1"/>
  <c r="J108" i="36" s="1"/>
  <c r="J93" i="36"/>
  <c r="J113" i="36" s="1"/>
  <c r="J66" i="36" l="1"/>
  <c r="J62" i="36" s="1"/>
  <c r="J67" i="36" s="1"/>
  <c r="J76" i="36"/>
  <c r="J73" i="36" s="1"/>
  <c r="J77" i="36" s="1"/>
  <c r="J80" i="36" s="1"/>
  <c r="K94" i="36"/>
  <c r="J111" i="36"/>
  <c r="K102" i="36" l="1"/>
  <c r="K103" i="36" s="1"/>
  <c r="J85" i="36"/>
  <c r="J89" i="36"/>
  <c r="J86" i="36" l="1"/>
  <c r="J84" i="36" s="1"/>
  <c r="J88" i="36" s="1"/>
  <c r="K95" i="36"/>
  <c r="J90" i="36" l="1"/>
  <c r="J87" i="36" s="1"/>
  <c r="K112" i="36"/>
  <c r="K106" i="36"/>
  <c r="K107" i="36" s="1"/>
  <c r="K108" i="36" s="1"/>
  <c r="K93" i="36"/>
  <c r="K113" i="36" s="1"/>
  <c r="L94" i="36" l="1"/>
  <c r="K111" i="36"/>
  <c r="K76" i="36"/>
  <c r="K73" i="36" s="1"/>
  <c r="K77" i="36" s="1"/>
  <c r="K80" i="36" s="1"/>
  <c r="K66" i="36"/>
  <c r="K62" i="36" s="1"/>
  <c r="K67" i="36" s="1"/>
  <c r="K85" i="36" l="1"/>
  <c r="K89" i="36"/>
  <c r="L102" i="36"/>
  <c r="L103" i="36" s="1"/>
  <c r="L95" i="36" l="1"/>
  <c r="K86" i="36"/>
  <c r="K84" i="36" s="1"/>
  <c r="K88" i="36" s="1"/>
  <c r="K90" i="36" l="1"/>
  <c r="K87" i="36" s="1"/>
  <c r="L106" i="36"/>
  <c r="L107" i="36" s="1"/>
  <c r="L108" i="36" s="1"/>
  <c r="L112" i="36"/>
  <c r="L93" i="36"/>
  <c r="L113" i="36" s="1"/>
  <c r="M94" i="36" l="1"/>
  <c r="L111" i="36"/>
  <c r="L76" i="36"/>
  <c r="L73" i="36" s="1"/>
  <c r="L77" i="36" s="1"/>
  <c r="L80" i="36" s="1"/>
  <c r="L66" i="36"/>
  <c r="L62" i="36" s="1"/>
  <c r="L67" i="36" s="1"/>
  <c r="L85" i="36" l="1"/>
  <c r="L89" i="36"/>
  <c r="M102" i="36"/>
  <c r="M103" i="36" s="1"/>
  <c r="M95" i="36" l="1"/>
  <c r="L86" i="36"/>
  <c r="L84" i="36" s="1"/>
  <c r="L88" i="36" s="1"/>
  <c r="L90" i="36" l="1"/>
  <c r="L87" i="36" s="1"/>
  <c r="M106" i="36"/>
  <c r="M107" i="36" s="1"/>
  <c r="M108" i="36" s="1"/>
  <c r="M112" i="36"/>
  <c r="M93" i="36"/>
  <c r="M113" i="36" s="1"/>
  <c r="N94" i="36" l="1"/>
  <c r="M111" i="36"/>
  <c r="M76" i="36"/>
  <c r="M73" i="36" s="1"/>
  <c r="M77" i="36" s="1"/>
  <c r="M80" i="36" s="1"/>
  <c r="M66" i="36"/>
  <c r="M62" i="36" s="1"/>
  <c r="M67" i="36" s="1"/>
  <c r="N102" i="36" l="1"/>
  <c r="N103" i="36" s="1"/>
  <c r="M85" i="36"/>
  <c r="M89" i="36"/>
  <c r="M86" i="36" l="1"/>
  <c r="M84" i="36" s="1"/>
  <c r="M88" i="36" s="1"/>
  <c r="N95" i="36"/>
  <c r="N112" i="36" l="1"/>
  <c r="N106" i="36"/>
  <c r="N107" i="36" s="1"/>
  <c r="N108" i="36" s="1"/>
  <c r="N93" i="36"/>
  <c r="N113" i="36" s="1"/>
  <c r="M90" i="36"/>
  <c r="M87" i="36" s="1"/>
  <c r="O94" i="36" l="1"/>
  <c r="N111" i="36"/>
  <c r="N66" i="36"/>
  <c r="N62" i="36" s="1"/>
  <c r="N67" i="36" s="1"/>
  <c r="N76" i="36"/>
  <c r="N73" i="36" s="1"/>
  <c r="N77" i="36" s="1"/>
  <c r="N80" i="36" s="1"/>
  <c r="N85" i="36" l="1"/>
  <c r="N89" i="36"/>
  <c r="O102" i="36"/>
  <c r="O103" i="36" s="1"/>
  <c r="O95" i="36" l="1"/>
  <c r="N86" i="36"/>
  <c r="N84" i="36" s="1"/>
  <c r="N88" i="36" s="1"/>
  <c r="N90" i="36" l="1"/>
  <c r="N87" i="36" s="1"/>
  <c r="O112" i="36"/>
  <c r="O106" i="36"/>
  <c r="O107" i="36" s="1"/>
  <c r="O108" i="36" s="1"/>
  <c r="O93" i="36"/>
  <c r="O113" i="36" s="1"/>
  <c r="P94" i="36" l="1"/>
  <c r="O111" i="36"/>
  <c r="O66" i="36"/>
  <c r="O62" i="36" s="1"/>
  <c r="O67" i="36" s="1"/>
  <c r="O76" i="36"/>
  <c r="O73" i="36" s="1"/>
  <c r="O77" i="36" s="1"/>
  <c r="O80" i="36" s="1"/>
  <c r="P102" i="36" l="1"/>
  <c r="P103" i="36" s="1"/>
  <c r="O89" i="36"/>
  <c r="O85" i="36"/>
  <c r="O86" i="36" l="1"/>
  <c r="O84" i="36" s="1"/>
  <c r="O88" i="36" s="1"/>
  <c r="P95" i="36"/>
  <c r="O90" i="36" l="1"/>
  <c r="O87" i="36" s="1"/>
  <c r="P112" i="36"/>
  <c r="P106" i="36"/>
  <c r="P107" i="36" s="1"/>
  <c r="P108" i="36" s="1"/>
  <c r="P93" i="36"/>
  <c r="P113" i="36" s="1"/>
  <c r="P66" i="36" l="1"/>
  <c r="P62" i="36" s="1"/>
  <c r="P67" i="36" s="1"/>
  <c r="P76" i="36"/>
  <c r="P73" i="36" s="1"/>
  <c r="P77" i="36" s="1"/>
  <c r="P80" i="36" s="1"/>
  <c r="P111" i="36"/>
  <c r="P85" i="36" l="1"/>
  <c r="P89" i="36"/>
  <c r="P86" i="36" l="1"/>
  <c r="P84" i="36" s="1"/>
  <c r="P88" i="36" s="1"/>
  <c r="P90" i="36" l="1"/>
  <c r="P87" i="36" s="1"/>
  <c r="B113" i="53"/>
  <c r="E111" i="53"/>
  <c r="E110" i="53"/>
  <c r="E109" i="53"/>
  <c r="D111" i="53"/>
  <c r="D110" i="53"/>
  <c r="D109" i="53"/>
</calcChain>
</file>

<file path=xl/comments1.xml><?xml version="1.0" encoding="utf-8"?>
<comments xmlns="http://schemas.openxmlformats.org/spreadsheetml/2006/main">
  <authors>
    <author>Макин Роман Владимирович</author>
  </authors>
  <commentList>
    <comment ref="C56" authorId="0">
      <text>
        <r>
          <rPr>
            <sz val="9"/>
            <color indexed="81"/>
            <rFont val="Tahoma"/>
            <family val="2"/>
            <charset val="204"/>
          </rPr>
          <t>Полезный отпуск электрической энергии должен соответствовать сводному прогнозному балансу электрической энергии (мощности)</t>
        </r>
      </text>
    </comment>
    <comment ref="V56" authorId="0">
      <text>
        <r>
          <rPr>
            <sz val="9"/>
            <color indexed="81"/>
            <rFont val="Tahoma"/>
            <family val="2"/>
            <charset val="204"/>
          </rPr>
          <t>Полезный отпуск электрической энергии должен соответствовать сводному прогнозному балансу электрической энергии (мощности)</t>
        </r>
      </text>
    </comment>
    <comment ref="AO56" authorId="0">
      <text>
        <r>
          <rPr>
            <sz val="9"/>
            <color indexed="81"/>
            <rFont val="Tahoma"/>
            <family val="2"/>
            <charset val="204"/>
          </rPr>
          <t>Полезный отпуск электрической энергии должен соответствовать сводному прогнозному балансу электрической энергии (мощности)</t>
        </r>
      </text>
    </comment>
    <comment ref="BH56" authorId="0">
      <text>
        <r>
          <rPr>
            <sz val="9"/>
            <color indexed="81"/>
            <rFont val="Tahoma"/>
            <family val="2"/>
            <charset val="204"/>
          </rPr>
          <t>Полезный отпуск электрической энергии должен соответствовать сводному прогнозному балансу электрической энергии (мощности)</t>
        </r>
      </text>
    </comment>
    <comment ref="CA56" authorId="0">
      <text>
        <r>
          <rPr>
            <sz val="9"/>
            <color indexed="81"/>
            <rFont val="Tahoma"/>
            <family val="2"/>
            <charset val="204"/>
          </rPr>
          <t>Полезный отпуск электрической энергии должен соответствовать сводному прогнозному балансу электрической энергии (мощности)</t>
        </r>
      </text>
    </comment>
  </commentList>
</comments>
</file>

<file path=xl/comments2.xml><?xml version="1.0" encoding="utf-8"?>
<comments xmlns="http://schemas.openxmlformats.org/spreadsheetml/2006/main">
  <authors>
    <author>Токарев Артем Алексеевич</author>
  </authors>
  <commentList>
    <comment ref="B28" authorId="0">
      <text>
        <r>
          <rPr>
            <b/>
            <sz val="9"/>
            <color indexed="81"/>
            <rFont val="Tahoma"/>
            <family val="2"/>
            <charset val="204"/>
          </rPr>
          <t>для примера</t>
        </r>
      </text>
    </comment>
    <comment ref="H28" authorId="0">
      <text>
        <r>
          <rPr>
            <b/>
            <sz val="9"/>
            <color indexed="81"/>
            <rFont val="Tahoma"/>
            <family val="2"/>
            <charset val="204"/>
          </rPr>
          <t>для примера</t>
        </r>
      </text>
    </comment>
    <comment ref="N28" authorId="0">
      <text>
        <r>
          <rPr>
            <b/>
            <sz val="9"/>
            <color indexed="81"/>
            <rFont val="Tahoma"/>
            <family val="2"/>
            <charset val="204"/>
          </rPr>
          <t>для примера</t>
        </r>
      </text>
    </comment>
    <comment ref="T28" authorId="0">
      <text>
        <r>
          <rPr>
            <b/>
            <sz val="9"/>
            <color indexed="81"/>
            <rFont val="Tahoma"/>
            <family val="2"/>
            <charset val="204"/>
          </rPr>
          <t>для примера</t>
        </r>
      </text>
    </comment>
    <comment ref="B29" authorId="0">
      <text>
        <r>
          <rPr>
            <b/>
            <sz val="9"/>
            <color indexed="81"/>
            <rFont val="Tahoma"/>
            <family val="2"/>
            <charset val="204"/>
          </rPr>
          <t>для примера</t>
        </r>
      </text>
    </comment>
    <comment ref="H29" authorId="0">
      <text>
        <r>
          <rPr>
            <b/>
            <sz val="9"/>
            <color indexed="81"/>
            <rFont val="Tahoma"/>
            <family val="2"/>
            <charset val="204"/>
          </rPr>
          <t>для примера</t>
        </r>
      </text>
    </comment>
    <comment ref="N29" authorId="0">
      <text>
        <r>
          <rPr>
            <b/>
            <sz val="9"/>
            <color indexed="81"/>
            <rFont val="Tahoma"/>
            <family val="2"/>
            <charset val="204"/>
          </rPr>
          <t>для примера</t>
        </r>
      </text>
    </comment>
    <comment ref="T29" authorId="0">
      <text>
        <r>
          <rPr>
            <b/>
            <sz val="9"/>
            <color indexed="81"/>
            <rFont val="Tahoma"/>
            <family val="2"/>
            <charset val="204"/>
          </rPr>
          <t>для примера</t>
        </r>
      </text>
    </comment>
    <comment ref="B30" authorId="0">
      <text>
        <r>
          <rPr>
            <b/>
            <sz val="9"/>
            <color indexed="81"/>
            <rFont val="Tahoma"/>
            <family val="2"/>
            <charset val="204"/>
          </rPr>
          <t>для примера</t>
        </r>
      </text>
    </comment>
    <comment ref="H30" authorId="0">
      <text>
        <r>
          <rPr>
            <b/>
            <sz val="9"/>
            <color indexed="81"/>
            <rFont val="Tahoma"/>
            <family val="2"/>
            <charset val="204"/>
          </rPr>
          <t>для примера</t>
        </r>
      </text>
    </comment>
    <comment ref="N30" authorId="0">
      <text>
        <r>
          <rPr>
            <b/>
            <sz val="9"/>
            <color indexed="81"/>
            <rFont val="Tahoma"/>
            <family val="2"/>
            <charset val="204"/>
          </rPr>
          <t>для примера</t>
        </r>
      </text>
    </comment>
    <comment ref="T30" authorId="0">
      <text>
        <r>
          <rPr>
            <b/>
            <sz val="9"/>
            <color indexed="81"/>
            <rFont val="Tahoma"/>
            <family val="2"/>
            <charset val="204"/>
          </rPr>
          <t>для примера</t>
        </r>
      </text>
    </comment>
    <comment ref="B31" authorId="0">
      <text>
        <r>
          <rPr>
            <b/>
            <sz val="9"/>
            <color indexed="81"/>
            <rFont val="Tahoma"/>
            <family val="2"/>
            <charset val="204"/>
          </rPr>
          <t>для примера</t>
        </r>
      </text>
    </comment>
    <comment ref="H31" authorId="0">
      <text>
        <r>
          <rPr>
            <b/>
            <sz val="9"/>
            <color indexed="81"/>
            <rFont val="Tahoma"/>
            <family val="2"/>
            <charset val="204"/>
          </rPr>
          <t>для примера</t>
        </r>
      </text>
    </comment>
    <comment ref="N31" authorId="0">
      <text>
        <r>
          <rPr>
            <b/>
            <sz val="9"/>
            <color indexed="81"/>
            <rFont val="Tahoma"/>
            <family val="2"/>
            <charset val="204"/>
          </rPr>
          <t>для примера</t>
        </r>
      </text>
    </comment>
    <comment ref="T31" authorId="0">
      <text>
        <r>
          <rPr>
            <b/>
            <sz val="9"/>
            <color indexed="81"/>
            <rFont val="Tahoma"/>
            <family val="2"/>
            <charset val="204"/>
          </rPr>
          <t>для примера</t>
        </r>
      </text>
    </comment>
    <comment ref="B32" authorId="0">
      <text>
        <r>
          <rPr>
            <b/>
            <sz val="9"/>
            <color indexed="81"/>
            <rFont val="Tahoma"/>
            <family val="2"/>
            <charset val="204"/>
          </rPr>
          <t>для примера</t>
        </r>
      </text>
    </comment>
    <comment ref="H32" authorId="0">
      <text>
        <r>
          <rPr>
            <b/>
            <sz val="9"/>
            <color indexed="81"/>
            <rFont val="Tahoma"/>
            <family val="2"/>
            <charset val="204"/>
          </rPr>
          <t>для примера</t>
        </r>
      </text>
    </comment>
    <comment ref="N32" authorId="0">
      <text>
        <r>
          <rPr>
            <b/>
            <sz val="9"/>
            <color indexed="81"/>
            <rFont val="Tahoma"/>
            <family val="2"/>
            <charset val="204"/>
          </rPr>
          <t>для примера</t>
        </r>
      </text>
    </comment>
    <comment ref="T32" authorId="0">
      <text>
        <r>
          <rPr>
            <b/>
            <sz val="9"/>
            <color indexed="81"/>
            <rFont val="Tahoma"/>
            <family val="2"/>
            <charset val="204"/>
          </rPr>
          <t>для примера</t>
        </r>
      </text>
    </comment>
  </commentList>
</comments>
</file>

<file path=xl/comments3.xml><?xml version="1.0" encoding="utf-8"?>
<comments xmlns="http://schemas.openxmlformats.org/spreadsheetml/2006/main">
  <authors>
    <author>Хальзова Юлия Сергеевна</author>
  </authors>
  <commentList>
    <comment ref="T7" authorId="0">
      <text>
        <r>
          <rPr>
            <b/>
            <sz val="9"/>
            <color indexed="81"/>
            <rFont val="Tahoma"/>
            <family val="2"/>
            <charset val="204"/>
          </rPr>
          <t>маркер будет снят при внесении ТСО ряда данных</t>
        </r>
        <r>
          <rPr>
            <sz val="9"/>
            <color indexed="81"/>
            <rFont val="Tahoma"/>
            <family val="2"/>
            <charset val="204"/>
          </rPr>
          <t xml:space="preserve">
</t>
        </r>
      </text>
    </comment>
  </commentList>
</comments>
</file>

<file path=xl/comments4.xml><?xml version="1.0" encoding="utf-8"?>
<comments xmlns="http://schemas.openxmlformats.org/spreadsheetml/2006/main">
  <authors>
    <author>Хальзова Юлия Сергеевна</author>
  </authors>
  <commentList>
    <comment ref="T7" authorId="0">
      <text>
        <r>
          <rPr>
            <b/>
            <sz val="9"/>
            <color indexed="81"/>
            <rFont val="Tahoma"/>
            <family val="2"/>
            <charset val="204"/>
          </rPr>
          <t>маркер будет снят при внесении ТСО ряда данных</t>
        </r>
        <r>
          <rPr>
            <sz val="9"/>
            <color indexed="81"/>
            <rFont val="Tahoma"/>
            <family val="2"/>
            <charset val="204"/>
          </rPr>
          <t xml:space="preserve">
</t>
        </r>
      </text>
    </comment>
  </commentList>
</comments>
</file>

<file path=xl/comments5.xml><?xml version="1.0" encoding="utf-8"?>
<comments xmlns="http://schemas.openxmlformats.org/spreadsheetml/2006/main">
  <authors>
    <author>KAV</author>
  </authors>
  <commentList>
    <comment ref="E47" authorId="0">
      <text>
        <r>
          <rPr>
            <sz val="9"/>
            <color indexed="81"/>
            <rFont val="Tahoma"/>
            <family val="2"/>
            <charset val="204"/>
          </rPr>
          <t>Долгосрочные параметры регулирования не подлежат пересмотру и должны строго соответствовать параметрам,  согласованным ФСТ России</t>
        </r>
      </text>
    </comment>
  </commentList>
</comments>
</file>

<file path=xl/sharedStrings.xml><?xml version="1.0" encoding="utf-8"?>
<sst xmlns="http://schemas.openxmlformats.org/spreadsheetml/2006/main" count="7614" uniqueCount="2293">
  <si>
    <t>Версия шаблона</t>
  </si>
  <si>
    <t>5.2</t>
  </si>
  <si>
    <t xml:space="preserve">Заполнять шаблон необходимо только в части ячеек, которые предусматривают введение информации (цветовая гамма ячеек представлена ниже) </t>
  </si>
  <si>
    <t xml:space="preserve"> - ячейки, предназначенные для заполнения РО</t>
  </si>
  <si>
    <t xml:space="preserve"> - ячейки, рассчитываемые автоматически</t>
  </si>
  <si>
    <t xml:space="preserve"> - ячейки, не предназначенные для заполнения</t>
  </si>
  <si>
    <t xml:space="preserve"> - ячейки, с выбором значения из выпадающего списка</t>
  </si>
  <si>
    <t>Добавить</t>
  </si>
  <si>
    <t xml:space="preserve"> - кнопка для добавления новой строки в статью</t>
  </si>
  <si>
    <t>Примечание:</t>
  </si>
  <si>
    <t xml:space="preserve">На листе "0 (анкета)" должны быть заполнены поля в следующем порядке:
1. "Год начала долгосрочного периода регулирования"
2. "Длительность периода регулирования"
3. "Очередной период регулирования"
</t>
  </si>
  <si>
    <t>Список листов</t>
  </si>
  <si>
    <t>№ п/п</t>
  </si>
  <si>
    <t>Инструкция</t>
  </si>
  <si>
    <t>4.1</t>
  </si>
  <si>
    <t>Комментарии</t>
  </si>
  <si>
    <t>Перечень форм для заполнения</t>
  </si>
  <si>
    <t>Переход 
на лист вкладки</t>
  </si>
  <si>
    <t>Краткое содержание</t>
  </si>
  <si>
    <t>Содержание вкладки</t>
  </si>
  <si>
    <t>Инструкция и общая информация:</t>
  </si>
  <si>
    <t>Инструкция по заполнению</t>
  </si>
  <si>
    <t>Содержание набор форм</t>
  </si>
  <si>
    <t>0 (анкета)</t>
  </si>
  <si>
    <t>Анкета РО</t>
  </si>
  <si>
    <t>Общая информация об организации</t>
  </si>
  <si>
    <t>Технические (балансовые) показатели:</t>
  </si>
  <si>
    <t>Объем у.е.
(ВЛЭП и КЛЭП)</t>
  </si>
  <si>
    <t>Объем воздушных линий электропередач (ВЛЭП) и кабельных линий электропередач (КЛЭП) в условных единицах в зависимости от протяженности, напряжения, конструктивного использования и материала опор по форме Таблицы П2.1. Методических указаний 20-э/2</t>
  </si>
  <si>
    <t>Объем у.е.
(ТП, КТП и пр.)</t>
  </si>
  <si>
    <t>Объем подстанций 35 - 1150 кВ, трансформаторных подстанций (ТП), комплексных трансформаторных подстанций (КТП) и распределительных пунктов (РП) 0,4 - 20 кВ в условных единицах по форме Таблицы П2.2. Методических указаний 20-э/2</t>
  </si>
  <si>
    <t>Сводная информация по у.е.</t>
  </si>
  <si>
    <t>Информация по расходам (за отчетный и плановый периоды)</t>
  </si>
  <si>
    <t>"Сырье и материалы"</t>
  </si>
  <si>
    <t>Расходы на сырье и материалы (период за два года до первого периода регулирования(план/факт)/информация об утв. нагод, предшествующий первому периоду регулирования)</t>
  </si>
  <si>
    <t>"Работы и услуги производственного характера", "Ремонт основных средств"</t>
  </si>
  <si>
    <t>Расходы на оплату работ (услуг) производственного характера, расходы на ремонт основных средств
(период за два года до первого периода регулирования(план/факт)/информация об утв. нагод, предшествующий первому периоду регулирования)</t>
  </si>
  <si>
    <t>Оперативное и теническое обслуживание</t>
  </si>
  <si>
    <t xml:space="preserve">Детализация по у.е. в разрезе контрактов на ТО </t>
  </si>
  <si>
    <t>9 (Персонал)</t>
  </si>
  <si>
    <t>"Расходы на оплату труда"</t>
  </si>
  <si>
    <t>Расчет расходов на оплату труда по форме Таблицы П1.16 Методических указаний 20-э/2
(период за два года до первого периода регулирования(план/факт)/информация об утв. нагод, предшествующий первому периоду регулирования)</t>
  </si>
  <si>
    <t>10 (ППР)</t>
  </si>
  <si>
    <t>Прочие подконтрольные расходы</t>
  </si>
  <si>
    <t>Прочие подконтрольные расходы, связанные с производством и/или реализацией продукции
(за исключением  расходов на ремонт основных средств)
(период за два года до первого периода регулирования(план/факт)/информация об утв. нагод, предшествующий первому периоду регулирования)</t>
  </si>
  <si>
    <t>11 (ФСК)</t>
  </si>
  <si>
    <t>"Плата ФСК ЕЭС"</t>
  </si>
  <si>
    <t>Расчет суммы платы за услуги по передаче электрической энергии по единой национальной (общероссийской) электрической сети (ЕНЭС) по форме Таблицы П1.13 Методических указаний 20-э/2
(период за два года до первого периода регулирования(план/факт)/информация об утв. нагод, предшествующий первому периоду регулирования/план на i год)</t>
  </si>
  <si>
    <t>12 (аренда ЭСХ-отч пер)</t>
  </si>
  <si>
    <t>"Плата за аренду имущества и лизинг"</t>
  </si>
  <si>
    <t>Форма для представления сведений по аренде электросетевого имущества (период за два года до очередного периода регулирования)</t>
  </si>
  <si>
    <t xml:space="preserve">13 (аренда ЭСХ-план) </t>
  </si>
  <si>
    <t>Форма для представления сведений по аренде электросетевого имущества на очередной период регулирования и утвержденные значения на предыдущий период</t>
  </si>
  <si>
    <t>14 (лизинг ЭСХ-отч пер)</t>
  </si>
  <si>
    <t>Форма для представления сведений по лизингу электросетевого имущества (период за два года до очередного периода регулирования)</t>
  </si>
  <si>
    <t>15 (лизинг ЭСХ-план)</t>
  </si>
  <si>
    <t>Форма для представления сведений по лизингу электросетевого имущества на очередной период регулирования и утвержденные значения на предыдущий период</t>
  </si>
  <si>
    <t>16 (ар.+лиз. проч. им.-отч пер)</t>
  </si>
  <si>
    <t>Формы для представления сведений по аренде и лизингу прочего имущества, участвующего в деятельности по передаче электрической энергии  (период за два года до очередного периода регулирования)</t>
  </si>
  <si>
    <t>17 (ар.+лиз. проч. им. на-план)</t>
  </si>
  <si>
    <t>Формы для представления сведений по аренде и лизингу прочего имущества, участвующего в деятельности по передаче электрической энергии (очередной период регулирования и утвержденные значения на предыдущий период)</t>
  </si>
  <si>
    <t>18 (прочие НР)</t>
  </si>
  <si>
    <t>Прочие неподконтрольные расходы</t>
  </si>
  <si>
    <t>Расшифровка сумм прочих неподконтрольных расходов  (очередной период регулирования,утвержденные значения на предыдущий период, период за два года до очередного периода регулирования)</t>
  </si>
  <si>
    <t>19 (кредиты)</t>
  </si>
  <si>
    <t>"Данные о кредитах и расходах на их обслуживание"</t>
  </si>
  <si>
    <t>Информация о займах и кредитах в разрезе отдельных договоров  (очередной период регулирования,утвержденные значения на предыдущий период, период за два года до очередного периода регулирования)</t>
  </si>
  <si>
    <t>20 (аморт-отч пер)</t>
  </si>
  <si>
    <t>"Амортизация"</t>
  </si>
  <si>
    <t>Расчет амортизационных отчислений по основным средствам, находящимся в собственности организации и участвующих в деятельности по передаче электрической энергии (утвержденные значения на предыдущий период, период за два года до очередного периода регулирования)</t>
  </si>
  <si>
    <t>21 (аморт-план)</t>
  </si>
  <si>
    <t>Расчет амортизационных отчислений по основным средствам, находящимся в собственности организации и участвующих в деятельности по передаче электрической энергии (очередной период регулирования)</t>
  </si>
  <si>
    <t>22 (свод аморт)</t>
  </si>
  <si>
    <t>Расчет амортизационных отчислений на восстановление основных производственных фондов по форме Таблицы № П.1.17 Методических указаний 20-э/2</t>
  </si>
  <si>
    <t>23 (свод средн стоим ОС)</t>
  </si>
  <si>
    <t>Расчет среднегодовой стоимости основных производственных фондов по линиям электропередач и подстанциям по форме Таблицы П1.17.1 Методических указаний 20-э/2.</t>
  </si>
  <si>
    <t>24 (прибыль)</t>
  </si>
  <si>
    <t>Балансовая прибыль</t>
  </si>
  <si>
    <t>Расчет балансовой прибыли, принимаемой при установлении тарифов на передачу электрической энергии
  (очередной период регулирования,утвержденные значения на предыдущий период, период за два года до очередного периода регулирования)</t>
  </si>
  <si>
    <t>Расчет НВВ и тарифов на оказание услуг по передаче электрической энергии</t>
  </si>
  <si>
    <t>Расчет тарифа</t>
  </si>
  <si>
    <t>Корректировка НВВ</t>
  </si>
  <si>
    <t>Корректировка НВВ по результатам дейтельности в предыдущем периоде регулирования</t>
  </si>
  <si>
    <t>Справочные листы</t>
  </si>
  <si>
    <t>Информация о имеющихся депозитах в разрезе отдельных договоров   (очередной период регулирования,утвержденные значения на предыдущий период, период за два года до очередного периода регулирования)</t>
  </si>
  <si>
    <t>Фактические данные по бездоговорному потреблению</t>
  </si>
  <si>
    <t>Фактические данные по расходам на компенсацию потерь</t>
  </si>
  <si>
    <t>Фактические данные по выручке в разрезе заключенных договоров на услуги по передаче электрической энергии</t>
  </si>
  <si>
    <t>Фактические данные по расходам на услуги ФСК</t>
  </si>
  <si>
    <t>Данные по выполнению ИПР за фактически завершенный период</t>
  </si>
  <si>
    <t>Объём воздушных линий электропередач (ВЛЭП) и кабельных линий электропередач (КЛЭП) в условных единицах в зависимости от протяженности, напряжения, конструктивного использования и материала опор</t>
  </si>
  <si>
    <t>ЛЭП</t>
  </si>
  <si>
    <t xml:space="preserve">Напряжение, кВ </t>
  </si>
  <si>
    <t>Количество цепей на опоре</t>
  </si>
  <si>
    <t>Материал опор</t>
  </si>
  <si>
    <t>Количество условных единиц (у) на 100 км трассы ЛЭП</t>
  </si>
  <si>
    <t>Комментарии и примечания (не будут загружены в БД)</t>
  </si>
  <si>
    <t>Протяжённость</t>
  </si>
  <si>
    <t>Объём условных единиц</t>
  </si>
  <si>
    <t>у/100км</t>
  </si>
  <si>
    <t>км</t>
  </si>
  <si>
    <t>у</t>
  </si>
  <si>
    <t>ВЛЭП</t>
  </si>
  <si>
    <t>-</t>
  </si>
  <si>
    <t>металл</t>
  </si>
  <si>
    <t>400-500</t>
  </si>
  <si>
    <t>400_500</t>
  </si>
  <si>
    <t>ВЛЭП-400-500кВ-цепей:1-металл</t>
  </si>
  <si>
    <t>ж/бетон</t>
  </si>
  <si>
    <t>ВЛЭП-400-500кВ-цепей:1-ж/бетон</t>
  </si>
  <si>
    <t>330</t>
  </si>
  <si>
    <t>1</t>
  </si>
  <si>
    <t>ВЛЭП-330кВ-цепей:1-металл</t>
  </si>
  <si>
    <t>2</t>
  </si>
  <si>
    <t>ВЛЭП-330кВ-цепей:2-металл</t>
  </si>
  <si>
    <t>ВЛЭП-330кВ-цепей:2-ж/бетон</t>
  </si>
  <si>
    <t>дерево</t>
  </si>
  <si>
    <t>ВЛЭП-220кВ-цепей:1-дерево</t>
  </si>
  <si>
    <t>ВЛЭП-220кВ-металл</t>
  </si>
  <si>
    <t>ВЛЭП-220кВ:1-ж/бетон</t>
  </si>
  <si>
    <t>ВЛЭП-220кВ-цепей:2-металл</t>
  </si>
  <si>
    <t>ВЛЭП-220кВ:2-ж/бетон</t>
  </si>
  <si>
    <t>110-150</t>
  </si>
  <si>
    <t>110_150</t>
  </si>
  <si>
    <t>ВЛЭП-110-150кВ-цепей:1-дерево</t>
  </si>
  <si>
    <t>ВЛЭП-110-150кВ-металл</t>
  </si>
  <si>
    <t>ВЛЭП-110-150кВ:1-ж/бетон</t>
  </si>
  <si>
    <t>ВЛЭП-110-150кВ-цепей:2-металл</t>
  </si>
  <si>
    <t>ВЛЭП-110-150кВ:2-ж/бетон</t>
  </si>
  <si>
    <t>КЛЭП</t>
  </si>
  <si>
    <t>0</t>
  </si>
  <si>
    <t>КЛЭП-220кВ</t>
  </si>
  <si>
    <t>КЛЭП-110кВ</t>
  </si>
  <si>
    <t xml:space="preserve">ВН, Всего </t>
  </si>
  <si>
    <t>ВН_Всего</t>
  </si>
  <si>
    <t>ВЛЭП-35кВ-цепей:1-дерево</t>
  </si>
  <si>
    <t>ВЛЭП-35кВ-металл</t>
  </si>
  <si>
    <t>ВЛЭП-35кВ:1-ж/бетон</t>
  </si>
  <si>
    <t>ВЛЭП-35кВ-цепей:2-металл</t>
  </si>
  <si>
    <t>ВЛЭП-35кВ:2-ж/бетон</t>
  </si>
  <si>
    <t xml:space="preserve"> 1 - 20 </t>
  </si>
  <si>
    <t xml:space="preserve">1_20 </t>
  </si>
  <si>
    <t>ВЛЭП-1-20кВ-дерево</t>
  </si>
  <si>
    <t>дерево на ж/б пасынках</t>
  </si>
  <si>
    <t>ВЛЭП-1-20кВ-дерево на ж/б пасынках</t>
  </si>
  <si>
    <t>ж/бетон, металл</t>
  </si>
  <si>
    <t>ВЛЭП-1-20кВ-ж/бетон,металл</t>
  </si>
  <si>
    <t>20-35</t>
  </si>
  <si>
    <t>20_35</t>
  </si>
  <si>
    <t>КЛЭП-20-35кВ</t>
  </si>
  <si>
    <t xml:space="preserve"> 3 - 10</t>
  </si>
  <si>
    <t xml:space="preserve"> 3_10</t>
  </si>
  <si>
    <t>КЛЭП-3-10кВ</t>
  </si>
  <si>
    <t>СН 1, Всего</t>
  </si>
  <si>
    <t>СН1_Всего</t>
  </si>
  <si>
    <t>СН 2, Всего</t>
  </si>
  <si>
    <t>СН2_Всего</t>
  </si>
  <si>
    <t xml:space="preserve">0,4 кВ </t>
  </si>
  <si>
    <t>0,4</t>
  </si>
  <si>
    <t>ВЛЭП-0,4кВ-дерево</t>
  </si>
  <si>
    <t>ВЛЭП-0,4кВ-дерево на ж/б пасынках</t>
  </si>
  <si>
    <t>ВЛЭП-0,4кВ-ж/бетон,металл</t>
  </si>
  <si>
    <t xml:space="preserve">до 1 кВ </t>
  </si>
  <si>
    <t xml:space="preserve">_1 </t>
  </si>
  <si>
    <t>КЛЭП-до1кВ</t>
  </si>
  <si>
    <t>НН, Всего</t>
  </si>
  <si>
    <t>НН_Всего</t>
  </si>
  <si>
    <t>Итого</t>
  </si>
  <si>
    <t>ВН</t>
  </si>
  <si>
    <t>СН 1</t>
  </si>
  <si>
    <t>СН 2</t>
  </si>
  <si>
    <t>НН</t>
  </si>
  <si>
    <t>Всего</t>
  </si>
  <si>
    <t>Объём подстанций 35-1150 кВ, трансформаторных подстанций (ТП), комплексных трансформаторных подстанций (КТП) и распределительных пунктов(РП) 0,4-20 кВ в условных единицах</t>
  </si>
  <si>
    <t>Наименование</t>
  </si>
  <si>
    <t>Единица измерения</t>
  </si>
  <si>
    <t>Количество условных единиц (у) на единицу измерения</t>
  </si>
  <si>
    <t>Количество единиц измерения</t>
  </si>
  <si>
    <t>у/ед.изм.</t>
  </si>
  <si>
    <t>ед.изм.</t>
  </si>
  <si>
    <t>Подстанция</t>
  </si>
  <si>
    <t>п/ст</t>
  </si>
  <si>
    <t>Силовой трансформатор или реактор (одно- или трехфазный), или вольтодобавочный трансформатор</t>
  </si>
  <si>
    <t>Единица оборудования</t>
  </si>
  <si>
    <t>1_20</t>
  </si>
  <si>
    <t>1-20</t>
  </si>
  <si>
    <t>Воздушный выключатель</t>
  </si>
  <si>
    <t>3 фазы</t>
  </si>
  <si>
    <t>Масляный (вакуумный) выключатель</t>
  </si>
  <si>
    <t>Отделитель с короткозамыкателем</t>
  </si>
  <si>
    <t>Выключатель нагрузки</t>
  </si>
  <si>
    <t>Синхронный компенсатор мощн. до 50 Мвар</t>
  </si>
  <si>
    <t>То же, 50 Мвар и более</t>
  </si>
  <si>
    <t>Синхронный компенсатор мощн. 50 Мвар и выше</t>
  </si>
  <si>
    <t>Статические конденсаторы</t>
  </si>
  <si>
    <t>100 конд.</t>
  </si>
  <si>
    <t>Мачтовая (столбовая) ТП</t>
  </si>
  <si>
    <t>ТП</t>
  </si>
  <si>
    <t>Однотрансфор-маторная ТП, КТП</t>
  </si>
  <si>
    <t>ТП, КТП</t>
  </si>
  <si>
    <t>Двухтрансформаторная ТП, КТП</t>
  </si>
  <si>
    <t>Концевые кабельные заделки (муфты)</t>
  </si>
  <si>
    <t>10000 ед</t>
  </si>
  <si>
    <t>Распределительные и фидерные пункты</t>
  </si>
  <si>
    <t>100 присоедине ний</t>
  </si>
  <si>
    <t>13</t>
  </si>
  <si>
    <t xml:space="preserve">Однотрансфор-маторная подстанция 34/0,4 кВ </t>
  </si>
  <si>
    <t>14</t>
  </si>
  <si>
    <t>СН1</t>
  </si>
  <si>
    <t>СН2</t>
  </si>
  <si>
    <t>Вернуться к перечню форм</t>
  </si>
  <si>
    <t xml:space="preserve">Объем воздушных линий электропередач (ВЛЭП) и кабельных линий электропередач (КЛЭП) в условных единицах в зависимост от протяженности, напряжения, конструктивного использования и материала опор. </t>
  </si>
  <si>
    <t>Наименование показателей</t>
  </si>
  <si>
    <t>СН-1</t>
  </si>
  <si>
    <t>СН-2</t>
  </si>
  <si>
    <t xml:space="preserve">Объем подстанций 35-1150 кВ, трансформаторных подстанций (ТП), комплексных трансформаторных подстанций (КТП) и распределительных пунктов (РП) 0,4-20 кВ в условных единицах. </t>
  </si>
  <si>
    <t>Всего условных единиц</t>
  </si>
  <si>
    <t>VISIBLE</t>
  </si>
  <si>
    <t>HIDDEN</t>
  </si>
  <si>
    <t>Показатели</t>
  </si>
  <si>
    <t>Утвержденные и фактические показатели</t>
  </si>
  <si>
    <t>Плановые показатели (предложение организации)</t>
  </si>
  <si>
    <t>отклонение</t>
  </si>
  <si>
    <t>утверждено</t>
  </si>
  <si>
    <t>факт</t>
  </si>
  <si>
    <t>ИТОГО НВВ на содержание</t>
  </si>
  <si>
    <t>тыс. руб.</t>
  </si>
  <si>
    <t>Расчетные  данные</t>
  </si>
  <si>
    <t>1 полугодие (утверждено)</t>
  </si>
  <si>
    <t>2 полугодие (утверждено)</t>
  </si>
  <si>
    <t>1 полугодие (факт)</t>
  </si>
  <si>
    <t>2 полугодие (факт)</t>
  </si>
  <si>
    <t>1 полугодие</t>
  </si>
  <si>
    <t>2 полугодие</t>
  </si>
  <si>
    <t>1.</t>
  </si>
  <si>
    <t>Полезный отпуск электрической энергии</t>
  </si>
  <si>
    <t>млн.кВтч</t>
  </si>
  <si>
    <t>2.</t>
  </si>
  <si>
    <t>Потери электрической энергии в сетях</t>
  </si>
  <si>
    <t>3.</t>
  </si>
  <si>
    <t>Полезный отпуск электрической мощности</t>
  </si>
  <si>
    <t>МВт</t>
  </si>
  <si>
    <t>4.</t>
  </si>
  <si>
    <t xml:space="preserve">Цена на электроэнергию (покупка потерь) </t>
  </si>
  <si>
    <t>руб/МВтч</t>
  </si>
  <si>
    <t>Расчёт тарифа</t>
  </si>
  <si>
    <t>Ед.изм.</t>
  </si>
  <si>
    <t>Всего за год</t>
  </si>
  <si>
    <t>Полезный отпуск электроэнергии</t>
  </si>
  <si>
    <t>млн. кВтч</t>
  </si>
  <si>
    <t>Потери электроэнергии в сетях</t>
  </si>
  <si>
    <t>Тариф потерь</t>
  </si>
  <si>
    <t>руб./тыс. кВтч</t>
  </si>
  <si>
    <t>Стоимость потерь</t>
  </si>
  <si>
    <t>НВВ на содержание</t>
  </si>
  <si>
    <t>НВВ с учётом потерь в сетях</t>
  </si>
  <si>
    <t>Одноставочный тариф</t>
  </si>
  <si>
    <t>Двухставочный тариф:</t>
  </si>
  <si>
    <t>ставка на содержание сетей</t>
  </si>
  <si>
    <t>руб./ МВт мес</t>
  </si>
  <si>
    <t>ставка на компенсацию потерь</t>
  </si>
  <si>
    <t>Наименование показателя</t>
  </si>
  <si>
    <t>Ед. изм.</t>
  </si>
  <si>
    <t>Отклонение</t>
  </si>
  <si>
    <t>I.</t>
  </si>
  <si>
    <t>II.</t>
  </si>
  <si>
    <t>Корректировка в соответствии с Методическими указаниями № 98-э (без Bi  распред)</t>
  </si>
  <si>
    <t>1.1.</t>
  </si>
  <si>
    <t>%</t>
  </si>
  <si>
    <t>1.2.</t>
  </si>
  <si>
    <t>1.3.</t>
  </si>
  <si>
    <t>В инд - расходы связанные с компенсацией незапланированных расходов или полученного избытка</t>
  </si>
  <si>
    <t>1.3.1.</t>
  </si>
  <si>
    <t>∆ПР - корректировка подконтрольных расходов</t>
  </si>
  <si>
    <t>Хi- Индекс эффективности</t>
  </si>
  <si>
    <t>К эл. (коэф. эластичности подконтрольных расходов)</t>
  </si>
  <si>
    <t>у.е.</t>
  </si>
  <si>
    <t>1.3.2.</t>
  </si>
  <si>
    <t>∆НР - корректировка неподконтрольных расходов</t>
  </si>
  <si>
    <t>1.3.3.</t>
  </si>
  <si>
    <t>∆Уi - корректировка расходов на ИСУ, не относящиеся к капвложениям, определяемая до завершения долгосрочного периода регулирования</t>
  </si>
  <si>
    <t>1.3.4.</t>
  </si>
  <si>
    <t>∆НВВ - корректировка НВВ в части содержания электрических сетей</t>
  </si>
  <si>
    <t>1.3.5.</t>
  </si>
  <si>
    <t>ПО - корректировка с учетом изменения ПО и цен на э/э</t>
  </si>
  <si>
    <t>руб./МВтч</t>
  </si>
  <si>
    <t>1.4.</t>
  </si>
  <si>
    <t>B корр.ИП - корректировка связанная с неисполнением ИПР (всего)</t>
  </si>
  <si>
    <t>Корректировка  НВВ по исполнению показателей надежности и качества</t>
  </si>
  <si>
    <t>КНКi - понижающий (повышающий) коэффициент</t>
  </si>
  <si>
    <t>III.</t>
  </si>
  <si>
    <t>Корректировка НВВ в части ПР по результатам деятельности за долгосрочный период регулирования (п. 7 Основ ценообразования и письмо ФАС России от 19.06.2017 № ИА/41019/17)</t>
  </si>
  <si>
    <t>IV.</t>
  </si>
  <si>
    <r>
      <t xml:space="preserve">Выпадающие доходы / излишне полученные по результатам осуществления деятельности </t>
    </r>
    <r>
      <rPr>
        <b/>
        <sz val="10"/>
        <color rgb="FFFF0000"/>
        <rFont val="Times New Roman Cyr"/>
        <charset val="204"/>
      </rPr>
      <t>(заполняется в случае, если НВВ в предыдущем периоде была установлена методом экономически обоснованных затрат</t>
    </r>
    <r>
      <rPr>
        <b/>
        <sz val="10"/>
        <rFont val="Times New Roman Cyr"/>
        <charset val="204"/>
      </rPr>
      <t>)</t>
    </r>
  </si>
  <si>
    <t>V.</t>
  </si>
  <si>
    <t>VI.</t>
  </si>
  <si>
    <t>Расчет коэффициента индексации</t>
  </si>
  <si>
    <t>0.1</t>
  </si>
  <si>
    <t>инфляция</t>
  </si>
  <si>
    <t>0.2</t>
  </si>
  <si>
    <t>индекс эффективности операционных расходов</t>
  </si>
  <si>
    <t>0.3</t>
  </si>
  <si>
    <t>количество активов, всего</t>
  </si>
  <si>
    <t>0.3.1</t>
  </si>
  <si>
    <t>0.3.2</t>
  </si>
  <si>
    <t>0.3.3</t>
  </si>
  <si>
    <t>0.3.4</t>
  </si>
  <si>
    <t>0.4</t>
  </si>
  <si>
    <t>коэффициент эластичности операционных расходов по росту активов</t>
  </si>
  <si>
    <t>0.5</t>
  </si>
  <si>
    <t>индекс изменения количества активов</t>
  </si>
  <si>
    <t>0.6</t>
  </si>
  <si>
    <t>итого коэффициент индексации</t>
  </si>
  <si>
    <t>0.7</t>
  </si>
  <si>
    <t>количество активов, всего (КОРР)</t>
  </si>
  <si>
    <t>Расчет подконтрольных расходов</t>
  </si>
  <si>
    <t>1.1</t>
  </si>
  <si>
    <t>Материальные затраты</t>
  </si>
  <si>
    <t>тыс.руб</t>
  </si>
  <si>
    <t>1.1.1</t>
  </si>
  <si>
    <t>Сырье, материалы, запасные части, инструмент, топливо</t>
  </si>
  <si>
    <t>1.1.2</t>
  </si>
  <si>
    <t>Работы и услуги производственного характера (в т.ч. услуги сторонних организаций по содержанию сетей и распределительных устройств)</t>
  </si>
  <si>
    <t>1.2</t>
  </si>
  <si>
    <t>Расходы на оплату труда</t>
  </si>
  <si>
    <t>1.3</t>
  </si>
  <si>
    <t>Прочие расходы, всего, в том числе:</t>
  </si>
  <si>
    <t>1.3.1</t>
  </si>
  <si>
    <t>Ремонт основных фондов</t>
  </si>
  <si>
    <t>1.3.2</t>
  </si>
  <si>
    <t>Оплата работ и услуг сторонних организаций</t>
  </si>
  <si>
    <t>1.3.2.1</t>
  </si>
  <si>
    <t>услуги связи</t>
  </si>
  <si>
    <t>1.3.2.2</t>
  </si>
  <si>
    <t>Расходы на услуги вневедомственной охраны и коммунального хозяйства</t>
  </si>
  <si>
    <t>1.3.2.3</t>
  </si>
  <si>
    <t>Расходы на юридические и информационные услуги</t>
  </si>
  <si>
    <t>1.3.2.4</t>
  </si>
  <si>
    <t>Расходы на аудиторские и консультационные услуги</t>
  </si>
  <si>
    <t>1.3.2.5</t>
  </si>
  <si>
    <t>Транспортные услуги</t>
  </si>
  <si>
    <t>1.3.2.6</t>
  </si>
  <si>
    <t>Прочие услуги сторонних организаций</t>
  </si>
  <si>
    <t>1.3.3</t>
  </si>
  <si>
    <t>Расходы на командировки и представительские</t>
  </si>
  <si>
    <t>1.3.4</t>
  </si>
  <si>
    <t>Расходы на подготовку кадров</t>
  </si>
  <si>
    <t>1.3.5</t>
  </si>
  <si>
    <t>Расходы на обеспечение нормальных условий труда и мер по технике безопасности</t>
  </si>
  <si>
    <t>1.3.6</t>
  </si>
  <si>
    <t>расходы на страхование</t>
  </si>
  <si>
    <t>1.3.7</t>
  </si>
  <si>
    <t>Другие прочие расходы</t>
  </si>
  <si>
    <t>ИТОГО подконтрольные расходы</t>
  </si>
  <si>
    <t>ИТОГО подконтрольные расходы (КОРР)</t>
  </si>
  <si>
    <t>Расчет неподконтрольных расходов</t>
  </si>
  <si>
    <t>2.1</t>
  </si>
  <si>
    <t>Оплата услуг ОАО "ФСК ЕЭС"</t>
  </si>
  <si>
    <t>2.2</t>
  </si>
  <si>
    <t>Плата за аренду имущества и лизинг</t>
  </si>
  <si>
    <t>2.3</t>
  </si>
  <si>
    <t>Налоги,всего, в том числе:</t>
  </si>
  <si>
    <t>2.3.1</t>
  </si>
  <si>
    <t>плата за землю</t>
  </si>
  <si>
    <t>2.3.2</t>
  </si>
  <si>
    <t>Налог на имущество</t>
  </si>
  <si>
    <t>2.3.3</t>
  </si>
  <si>
    <t>Прочие налоги и сборы</t>
  </si>
  <si>
    <t>2.4</t>
  </si>
  <si>
    <t>Отчисления на социальные нужды (страховые взносы)</t>
  </si>
  <si>
    <t>2.5</t>
  </si>
  <si>
    <t>Налог на прибыль</t>
  </si>
  <si>
    <t>2.6</t>
  </si>
  <si>
    <t>Расходы по судебным решениям, решениям ФСТ России о рассмотрении разногласий и досудебного урегулирования споров</t>
  </si>
  <si>
    <t>2.7</t>
  </si>
  <si>
    <t>Выпадающие доходы от льготного ТП</t>
  </si>
  <si>
    <t>ИТОГО неподконтрольных расходов</t>
  </si>
  <si>
    <t>3.1</t>
  </si>
  <si>
    <t>Амортизация</t>
  </si>
  <si>
    <t>3.2</t>
  </si>
  <si>
    <t>Проценты за кредит</t>
  </si>
  <si>
    <t>3.3</t>
  </si>
  <si>
    <t>Дивиденды</t>
  </si>
  <si>
    <t>Прибыль на прочие цели</t>
  </si>
  <si>
    <t>4.2</t>
  </si>
  <si>
    <t>4.3</t>
  </si>
  <si>
    <t>4.4</t>
  </si>
  <si>
    <t>4.5</t>
  </si>
  <si>
    <t>Период возврата</t>
  </si>
  <si>
    <t>лет</t>
  </si>
  <si>
    <t>4.7</t>
  </si>
  <si>
    <t>4.8</t>
  </si>
  <si>
    <t>4.9</t>
  </si>
  <si>
    <t>5.1</t>
  </si>
  <si>
    <t>Сглаживание</t>
  </si>
  <si>
    <t>5.3</t>
  </si>
  <si>
    <t>Размер инвестированного капитала - РИК</t>
  </si>
  <si>
    <t>Физический износ - ИИК</t>
  </si>
  <si>
    <t>6.1</t>
  </si>
  <si>
    <t>6.2</t>
  </si>
  <si>
    <t>6.3</t>
  </si>
  <si>
    <t>7.1</t>
  </si>
  <si>
    <t>7.2</t>
  </si>
  <si>
    <t>7.3</t>
  </si>
  <si>
    <t>8.1</t>
  </si>
  <si>
    <t>8.2</t>
  </si>
  <si>
    <t>8.3</t>
  </si>
  <si>
    <t>9</t>
  </si>
  <si>
    <t>Расходы на сырье и материалы</t>
  </si>
  <si>
    <t>Предмет договора, описание закупаемых сырья и материалов</t>
  </si>
  <si>
    <t>Договоры/доп. соглашения/ при заполнении факта дополнительно - акты выполненных работ</t>
  </si>
  <si>
    <t>Наименование контрагента</t>
  </si>
  <si>
    <r>
      <t xml:space="preserve">Комментарии*
</t>
    </r>
    <r>
      <rPr>
        <sz val="10"/>
        <rFont val="Times New Roman"/>
        <family val="1"/>
        <charset val="204"/>
      </rPr>
      <t>(согласно примечаниям к таблице)</t>
    </r>
  </si>
  <si>
    <t>Прямые расходы</t>
  </si>
  <si>
    <t>Косвенные общепроизводственные расходы, отнесенные на деятельность по передаче э/э</t>
  </si>
  <si>
    <t>Фактический процент распределения расходов на деятельность по передаче э/э</t>
  </si>
  <si>
    <t>Косвенные общехозяйственные расходы, отнесенные на деятельность по передаче э/э</t>
  </si>
  <si>
    <t>17</t>
  </si>
  <si>
    <t>18</t>
  </si>
  <si>
    <t>Материалы для эксплуатации (в том числе выполнение ремонтных работ хозяйственным способом),
всего, в том числе:</t>
  </si>
  <si>
    <t>Вспомогательные материалы для ремонтно-эксплуатационных нужд (РЭН)</t>
  </si>
  <si>
    <t>Группа затрат 1.1.1</t>
  </si>
  <si>
    <t>sum</t>
  </si>
  <si>
    <t>Наименование договора 1.</t>
  </si>
  <si>
    <t xml:space="preserve">       Наименование акта 1.1.</t>
  </si>
  <si>
    <t xml:space="preserve">       Наименование акта 1.2.1</t>
  </si>
  <si>
    <t xml:space="preserve">       Наименование акта 1.2.2</t>
  </si>
  <si>
    <t>Наименование доп. соглашения 1.2.</t>
  </si>
  <si>
    <t>Наименование договора 2.</t>
  </si>
  <si>
    <t xml:space="preserve">       Наименование акта 2.1</t>
  </si>
  <si>
    <t>Добавить документ</t>
  </si>
  <si>
    <t>Группа затрат 1.1.2</t>
  </si>
  <si>
    <t>Наименование документа 1.1.2.1</t>
  </si>
  <si>
    <t>Наименование документа 1.1.2.2</t>
  </si>
  <si>
    <t>Добавить группу затрат</t>
  </si>
  <si>
    <t>Приборы, инструменты для РЭН</t>
  </si>
  <si>
    <t>Группа затрат 1.2.1</t>
  </si>
  <si>
    <t>Наименование документа 1.2.1.1.</t>
  </si>
  <si>
    <t>Наименование документа 1.2.1.2</t>
  </si>
  <si>
    <t>Группа затрат 1.2.2</t>
  </si>
  <si>
    <t>Наименование документа 1.2.2.1</t>
  </si>
  <si>
    <t>Наименование документа 1.2.2.2</t>
  </si>
  <si>
    <t>Прочие материалы для эксплуатации</t>
  </si>
  <si>
    <t>Наименование документа 1.3.1.1.</t>
  </si>
  <si>
    <t>Наименование документа 1.3.1.2</t>
  </si>
  <si>
    <t>Наименование документа 1.3.2.1</t>
  </si>
  <si>
    <t>Наименование документа 1.3.2.2</t>
  </si>
  <si>
    <t>Горюче-смазочные материалы</t>
  </si>
  <si>
    <t>Группа затрат 2.1.</t>
  </si>
  <si>
    <t>Наименование документа 2.1.1</t>
  </si>
  <si>
    <t>Наименование документа 2.1.2</t>
  </si>
  <si>
    <t>Группа затрат 2.2</t>
  </si>
  <si>
    <t>Наименование документа 2.2.1.</t>
  </si>
  <si>
    <t>Наименование документа 2.2.2</t>
  </si>
  <si>
    <t>Основные средства до 
100 тыс. руб., всего, в том числе:</t>
  </si>
  <si>
    <t>3.1.</t>
  </si>
  <si>
    <t>Приобретение оргтехники</t>
  </si>
  <si>
    <t>Группа затрат 3.1.1</t>
  </si>
  <si>
    <t>Наименование документа 3.1.1.1</t>
  </si>
  <si>
    <t>Наименование документа 3.1.1.2</t>
  </si>
  <si>
    <t>3.1.2.</t>
  </si>
  <si>
    <t>Группа затрат 3.1.2</t>
  </si>
  <si>
    <t>Наименование документа 3.1.2.1</t>
  </si>
  <si>
    <t>Наименование документа 3.1.2.2</t>
  </si>
  <si>
    <t>3.2.</t>
  </si>
  <si>
    <t>Прочие основные средства до 100 тыс. руб.</t>
  </si>
  <si>
    <t>Группа затрат 3.2.1</t>
  </si>
  <si>
    <t>Наименование документа 3.2.1.1.</t>
  </si>
  <si>
    <t>Наименование документа 3.2.1.2</t>
  </si>
  <si>
    <t>Группа затрат 3.2.2</t>
  </si>
  <si>
    <t>Наименование документа 3.2.2.1</t>
  </si>
  <si>
    <t>Наименование документа 3.2.2.2</t>
  </si>
  <si>
    <t xml:space="preserve">Прочие материалы, всего, в том числе:  </t>
  </si>
  <si>
    <t>4.1.</t>
  </si>
  <si>
    <t>Расходные материалы для эксплуатации оргтехники</t>
  </si>
  <si>
    <t>Группа затрат 4.1.1</t>
  </si>
  <si>
    <t>Наименование документа 4.1.1.1</t>
  </si>
  <si>
    <t>Наименование документа 4.1.1.2</t>
  </si>
  <si>
    <t>Группа затрат 4.1.2</t>
  </si>
  <si>
    <t>Наименование документа 4.1.2.1</t>
  </si>
  <si>
    <t>Наименование документа 4.1.2.2</t>
  </si>
  <si>
    <t>4.2.</t>
  </si>
  <si>
    <t>Канцелярские товары</t>
  </si>
  <si>
    <t>Группа затрат 4.2.1</t>
  </si>
  <si>
    <t>Наименование документа 4.2.1.1</t>
  </si>
  <si>
    <t>Наименование документа 4.2.1.2</t>
  </si>
  <si>
    <t>Группа затрат 4.2.2</t>
  </si>
  <si>
    <t>Наименование документа 4.2.2.1</t>
  </si>
  <si>
    <t>Наименование документа 4.2.2.2</t>
  </si>
  <si>
    <t>4.3.</t>
  </si>
  <si>
    <t>Иные материалы</t>
  </si>
  <si>
    <t>Группа затрат 4.3.1</t>
  </si>
  <si>
    <t>Наименование документа 4.3.1.1.</t>
  </si>
  <si>
    <t>Наименование документа 4.3.1.2</t>
  </si>
  <si>
    <t>Группа затрат 4.3.2</t>
  </si>
  <si>
    <t>Наименование документа 4.3.2.1</t>
  </si>
  <si>
    <t>Наименование документа 4.3.2.2</t>
  </si>
  <si>
    <t>ИТОГО</t>
  </si>
  <si>
    <t>Примечания:</t>
  </si>
  <si>
    <t>При указании затрат по отдельным актам, не следует указывать их сумму в строке договора по избежание задвоения</t>
  </si>
  <si>
    <t>1) направление расходования материалов</t>
  </si>
  <si>
    <t>2) в случае отличия факта, отраженного в смете затрат от показателей, подтвержденнных бухгалтерскими документами - указать обоснование</t>
  </si>
  <si>
    <t>3) ссылка на документы, подтверждающие/обосновывающие фактические/плановые расходы</t>
  </si>
  <si>
    <t>4) ссылка на локально-нормативные акты организации (приказы и пр.) - при наличии.</t>
  </si>
  <si>
    <t>Расходы на оплату работ (услуг) производственного характера, расходы на ремонт основных средств</t>
  </si>
  <si>
    <t>Предмет договора, характер выполненных/планируемых к выполнению работ</t>
  </si>
  <si>
    <t>Договоры/доп. соглашения/ при заполнении факта дополнительно - акты выполненных работ *</t>
  </si>
  <si>
    <t>Комментарии**</t>
  </si>
  <si>
    <t xml:space="preserve">1. </t>
  </si>
  <si>
    <t>Работы и услуги производственного характера, всего:</t>
  </si>
  <si>
    <t>Оперативное и техническое обслуживание объектов ЭСХ</t>
  </si>
  <si>
    <t>Наименование документа 1.1.1.1</t>
  </si>
  <si>
    <t>Наименование документа 1.1.1.2</t>
  </si>
  <si>
    <t>Наименование документа 1.2.1.1</t>
  </si>
  <si>
    <t>Проведение испытаний и измерений</t>
  </si>
  <si>
    <t>Прочие работы и услуги производственного характера</t>
  </si>
  <si>
    <t>Группа затрат 1.3.1</t>
  </si>
  <si>
    <t>Наименование документа 1.3.1.1</t>
  </si>
  <si>
    <t>Группа затрат 1.3.2</t>
  </si>
  <si>
    <r>
      <rPr>
        <b/>
        <sz val="10"/>
        <rFont val="Times New Roman"/>
        <family val="1"/>
        <charset val="204"/>
      </rPr>
      <t xml:space="preserve">Ремонт основных средств </t>
    </r>
    <r>
      <rPr>
        <sz val="10"/>
        <rFont val="Times New Roman"/>
        <family val="1"/>
        <charset val="204"/>
      </rPr>
      <t xml:space="preserve">(способ выполнения ремонтных работ: подрядный) </t>
    </r>
    <r>
      <rPr>
        <b/>
        <sz val="10"/>
        <rFont val="Times New Roman"/>
        <family val="1"/>
        <charset val="204"/>
      </rPr>
      <t>всего, в том числе:</t>
    </r>
  </si>
  <si>
    <t>2.1.</t>
  </si>
  <si>
    <t>Текущий ремонт</t>
  </si>
  <si>
    <t>2.1.1.</t>
  </si>
  <si>
    <t>Ремонт ЭСХ</t>
  </si>
  <si>
    <t>Группа затрат 2.1.2.</t>
  </si>
  <si>
    <t>Наименование документа 2.1.2.1</t>
  </si>
  <si>
    <t>Наименование документа 2.1.2.2</t>
  </si>
  <si>
    <t>2.2.</t>
  </si>
  <si>
    <t>Капитальный ремонт</t>
  </si>
  <si>
    <t>2.2.1.</t>
  </si>
  <si>
    <t>Группа затрат 2.2.2.</t>
  </si>
  <si>
    <t>Наименование документа 2.2.2.1.</t>
  </si>
  <si>
    <t>Наименование документа 2.2.2.2</t>
  </si>
  <si>
    <t>2.3.</t>
  </si>
  <si>
    <t>Аварийный ремонт</t>
  </si>
  <si>
    <t>2.3.1.</t>
  </si>
  <si>
    <t>Группа затрат 2.3.2.</t>
  </si>
  <si>
    <t>Наименование документа 2.3.2.1.</t>
  </si>
  <si>
    <t>Наименование документа 2.3.2.2</t>
  </si>
  <si>
    <t>Группа затрат 2.3.3.</t>
  </si>
  <si>
    <t>Наименование документа 2.3.3.1.</t>
  </si>
  <si>
    <t>Наименование документа 2.3.3.2</t>
  </si>
  <si>
    <t>* При указании затрат по отдельным актам, не следует указывать их сумму в строке договора по избежание задвоения</t>
  </si>
  <si>
    <t>1) в случае отличия факта, отраженного в смете затрат от показателей, подтвержденнных бухгалтерскими документами - указать обоснование</t>
  </si>
  <si>
    <t>2) ссылка на документы, подтверждающие/обосновывающие фактические/плановые расходы</t>
  </si>
  <si>
    <t>3) ссылка на локально-нормативные акты организации (приказы и пр.) - при наличии.</t>
  </si>
  <si>
    <t>Собственные силы</t>
  </si>
  <si>
    <t>Договор подряда</t>
  </si>
  <si>
    <t>Информация по организации оперативного и технического обслуживания объектов электросетевого хозяйства
(факт отчетного периода или план (при переходе на первый год первого/очередного долгосрочного периода регулирования))</t>
  </si>
  <si>
    <t>Электросетевые объекты (собственные, арендованные, по договорам лизинга)</t>
  </si>
  <si>
    <t>Организация оперативного и технического обслуживания объектов электросетевого хозяйства (собственные силы/договор подряда)</t>
  </si>
  <si>
    <t>Наименование объекта</t>
  </si>
  <si>
    <t>Инвентарный номер</t>
  </si>
  <si>
    <t>Адрес расположения объекта</t>
  </si>
  <si>
    <t>№ и дата договора аренды/лизинга</t>
  </si>
  <si>
    <t>Арендодатель</t>
  </si>
  <si>
    <t>Срок действия  договора 
(с учетом доп.соглашений)</t>
  </si>
  <si>
    <t>Собственные силы/
договор подряда</t>
  </si>
  <si>
    <t>Объем у.е. оборудования, обслуживаемого по договору</t>
  </si>
  <si>
    <t xml:space="preserve">№ и дата договора </t>
  </si>
  <si>
    <t>Предмет договора</t>
  </si>
  <si>
    <t xml:space="preserve">Контрагент </t>
  </si>
  <si>
    <t>Собственные объекты</t>
  </si>
  <si>
    <t>Добавить строку</t>
  </si>
  <si>
    <t>Арендованные объекты</t>
  </si>
  <si>
    <t>Объекты по договору лизинга</t>
  </si>
  <si>
    <t>ИТОГО собственными силами</t>
  </si>
  <si>
    <t>ИТОГО по договорам подряда</t>
  </si>
  <si>
    <t>на основе таблицы 1.16 приложения к приказу ФСТ 20-э/2</t>
  </si>
  <si>
    <t>Единицы измерения</t>
  </si>
  <si>
    <t>Ссылка на пункты коллективного договора, внутренних документов по ТСО, определяющих право и размер выплат/вознаграждений/премирования и т.д.</t>
  </si>
  <si>
    <t>ЧИСЛЕННОСТЬ</t>
  </si>
  <si>
    <t>Нормативная численность</t>
  </si>
  <si>
    <t>чел.</t>
  </si>
  <si>
    <t>Фактическая численность</t>
  </si>
  <si>
    <t>Численность, принятая для расчета</t>
  </si>
  <si>
    <t>СРЕДНЯЯ  ЗАРПЛАТА</t>
  </si>
  <si>
    <t>Тарифная ставка рабочего 1-го разряда</t>
  </si>
  <si>
    <t>руб.</t>
  </si>
  <si>
    <t>Средняя ступень оплаты труда</t>
  </si>
  <si>
    <t>Тарифный коэффициент, соответствующий ступени по оплате труда</t>
  </si>
  <si>
    <t>2.4.</t>
  </si>
  <si>
    <t>Среднемесячная тарифная ставка ППП</t>
  </si>
  <si>
    <t>2.5.</t>
  </si>
  <si>
    <t>Выплаты, связанные с режимом работы, с условиями труда 1 работника:</t>
  </si>
  <si>
    <t xml:space="preserve">  - процент выплаты</t>
  </si>
  <si>
    <t xml:space="preserve">  - сумма выплат</t>
  </si>
  <si>
    <t>2.6.</t>
  </si>
  <si>
    <t>Текущее премирование:</t>
  </si>
  <si>
    <t>2.7.</t>
  </si>
  <si>
    <t>Вознаграждение за выслугу лет:</t>
  </si>
  <si>
    <t>2.8.</t>
  </si>
  <si>
    <t>Выплаты по итогам года:</t>
  </si>
  <si>
    <t>2.9.</t>
  </si>
  <si>
    <t>Выплаты &lt;______________&gt;:</t>
  </si>
  <si>
    <t>2.10.</t>
  </si>
  <si>
    <t>2.11.</t>
  </si>
  <si>
    <t>ИТОГО среднемесячная оплата труда на 1 работника</t>
  </si>
  <si>
    <t>Количество месяцев в периоде регулирования</t>
  </si>
  <si>
    <t>ИТОГО средства на оплату труда ППП</t>
  </si>
  <si>
    <t>тыс.руб.</t>
  </si>
  <si>
    <t xml:space="preserve">Прочие подконтрольные расходы, связанные с производством и/или реализацией продукции
(за исключением  расходов на ремонт основных средств) </t>
  </si>
  <si>
    <t>№</t>
  </si>
  <si>
    <t>№ категории согласно вкладке (расчет НВВ)</t>
  </si>
  <si>
    <t>Предмет договора, характер выполненных/планируемых к выполнению услуг</t>
  </si>
  <si>
    <t>Комментарии **</t>
  </si>
  <si>
    <t>Прочие подконтрольные расходы (за исключением ремонта основных средств) всего, в том числе</t>
  </si>
  <si>
    <t>Оплата работ и услуг сторонних организаций всего, в том числе:</t>
  </si>
  <si>
    <t>1.1.1.</t>
  </si>
  <si>
    <t>1.3.2.1.</t>
  </si>
  <si>
    <t>Расходы на услуги связи</t>
  </si>
  <si>
    <t>1.1.2.</t>
  </si>
  <si>
    <t>1.3.2.2.</t>
  </si>
  <si>
    <t>Расходы на услуги вневедомственной охраны и пожарную безопасность</t>
  </si>
  <si>
    <t>1.1.3.</t>
  </si>
  <si>
    <t>1.3.2.3.</t>
  </si>
  <si>
    <t>1.1.4.</t>
  </si>
  <si>
    <t>1.3.2.4.</t>
  </si>
  <si>
    <t>1.1.5.</t>
  </si>
  <si>
    <t>1.3.2.5.</t>
  </si>
  <si>
    <t>Расходы на услуги транспорта</t>
  </si>
  <si>
    <t>1.1.6.</t>
  </si>
  <si>
    <t>1.3.2.6.</t>
  </si>
  <si>
    <t>Расходы на повышение квалификации, подготовку кадров</t>
  </si>
  <si>
    <t>1.4.1.</t>
  </si>
  <si>
    <t>Спецодежда</t>
  </si>
  <si>
    <t>1.4.2.</t>
  </si>
  <si>
    <t>Средства защиты</t>
  </si>
  <si>
    <t>1.4.3.</t>
  </si>
  <si>
    <t>Периодические медицинские осмотры</t>
  </si>
  <si>
    <t>1.4.4.</t>
  </si>
  <si>
    <t>Предварительные медицинские осмотры</t>
  </si>
  <si>
    <t>1.4.5.</t>
  </si>
  <si>
    <t>Оценка условий труда</t>
  </si>
  <si>
    <t>1.4.6.</t>
  </si>
  <si>
    <t>Прочие расходы по указанной категории</t>
  </si>
  <si>
    <t>1.5.</t>
  </si>
  <si>
    <t>1.3.6.</t>
  </si>
  <si>
    <t>Расходы на страхование</t>
  </si>
  <si>
    <t>1.6.</t>
  </si>
  <si>
    <t>1.3.7.</t>
  </si>
  <si>
    <t>Коммунальные услуги</t>
  </si>
  <si>
    <t>1.7.</t>
  </si>
  <si>
    <t>1.3.8.</t>
  </si>
  <si>
    <t>Электроэнергия на хоз. нужды</t>
  </si>
  <si>
    <t>1.8.</t>
  </si>
  <si>
    <t>1.3.9.</t>
  </si>
  <si>
    <t>Другие прочие расходы (подконтрольные) всего, в том числе:</t>
  </si>
  <si>
    <t>1.8.1.</t>
  </si>
  <si>
    <t>1.3.9.1.</t>
  </si>
  <si>
    <t>Расходы на услуги банка</t>
  </si>
  <si>
    <t>1.8.2.</t>
  </si>
  <si>
    <t>1.3.9.2.</t>
  </si>
  <si>
    <t>Иные прочие расходы</t>
  </si>
  <si>
    <t>на основе таблицы 1.13 приложения к приказу ФСТ 20-э/2</t>
  </si>
  <si>
    <t>Расчет суммы платы за услуги по передаче электрической энергиипо 
единой национальной (общероссийской) электрической сети (ЕНЭС)</t>
  </si>
  <si>
    <t>Единицы
измерения</t>
  </si>
  <si>
    <t>Факт-Утверждено</t>
  </si>
  <si>
    <t>Плата ФСК</t>
  </si>
  <si>
    <t>Содержание сетей ФСК</t>
  </si>
  <si>
    <t>1.1.1.1</t>
  </si>
  <si>
    <t>Заявленная мощность к сетям ФСК</t>
  </si>
  <si>
    <t>1.1.1.2</t>
  </si>
  <si>
    <t>Тариф на содержание сетей ФСК</t>
  </si>
  <si>
    <t>руб.Мвт в месяц</t>
  </si>
  <si>
    <t>Стоимость потерь в сетях ФСК</t>
  </si>
  <si>
    <t>1.2.1</t>
  </si>
  <si>
    <t>1.2.1.1.</t>
  </si>
  <si>
    <t>объем потерь в сетях ФСК</t>
  </si>
  <si>
    <t>МВтч</t>
  </si>
  <si>
    <t>1.2.1.1.1</t>
  </si>
  <si>
    <t>отпуск из сети ФСК</t>
  </si>
  <si>
    <t>1.2.1.1.2</t>
  </si>
  <si>
    <t>норматив технологич.потерь ээ</t>
  </si>
  <si>
    <t>1.2.1.2</t>
  </si>
  <si>
    <t>тариф покупки потерь</t>
  </si>
  <si>
    <t>1.2.2.</t>
  </si>
  <si>
    <t>1.2.2.1</t>
  </si>
  <si>
    <t>1.2.1.2.1</t>
  </si>
  <si>
    <t>1.2.1.2.2</t>
  </si>
  <si>
    <t>1.2.2.2</t>
  </si>
  <si>
    <t>Договор в действующей редакции (с учетом всех доп. соглашений)</t>
  </si>
  <si>
    <t>Дополнительное соглашение/договор в исходной редакции</t>
  </si>
  <si>
    <t>Тип документа</t>
  </si>
  <si>
    <t>№ договора</t>
  </si>
  <si>
    <t>Собственник арендованных объектов электросетевого хозяйства (полное наименование)</t>
  </si>
  <si>
    <t>Дата подписания договора</t>
  </si>
  <si>
    <t>№ доп. соглашения  (если применимо)</t>
  </si>
  <si>
    <t>Дата подписания доп. соглашения  (если применимо)</t>
  </si>
  <si>
    <t>Предмет доп. соглашения (если применимо)</t>
  </si>
  <si>
    <t>Приложение/ДС к договору
на передачу э/э на включение точек поставки</t>
  </si>
  <si>
    <t>Статус документа - зарегистрирован в Росреестре (да/нет/ получен отказ в регистрации)</t>
  </si>
  <si>
    <t>Дата начала действия договора / доп. соглашения</t>
  </si>
  <si>
    <t>Дата окончания действия договора / доп. соглашения</t>
  </si>
  <si>
    <t>Объекты аренды</t>
  </si>
  <si>
    <t>Адрес объектов аренды</t>
  </si>
  <si>
    <t>Количество арендуемого оборудования в условных единицах,
у.е.</t>
  </si>
  <si>
    <t>Фактический объем полезного отпуска электрической энергии, переданного через арендованные объекты электросетевого хозяйства за год, тыс. кВтч</t>
  </si>
  <si>
    <r>
      <t xml:space="preserve">Крупные потребители по указанному договору аренды/ доп. соглашению
</t>
    </r>
    <r>
      <rPr>
        <i/>
        <sz val="9"/>
        <color theme="1"/>
        <rFont val="Times New Roman"/>
        <family val="1"/>
        <charset val="204"/>
      </rPr>
      <t>(</t>
    </r>
    <r>
      <rPr>
        <b/>
        <i/>
        <u/>
        <sz val="9"/>
        <color theme="1"/>
        <rFont val="Times New Roman"/>
        <family val="1"/>
        <charset val="204"/>
      </rPr>
      <t>при отсутствии в отчетном периоде факта 100% доли</t>
    </r>
    <r>
      <rPr>
        <i/>
        <sz val="9"/>
        <color theme="1"/>
        <rFont val="Times New Roman"/>
        <family val="1"/>
        <charset val="204"/>
      </rPr>
      <t xml:space="preserve"> потребления э/э собственником ЭСХ - в одной ячейке через запятую </t>
    </r>
    <r>
      <rPr>
        <b/>
        <i/>
        <u/>
        <sz val="9"/>
        <color theme="1"/>
        <rFont val="Times New Roman"/>
        <family val="1"/>
        <charset val="204"/>
      </rPr>
      <t>указываются от 2-х и более потребителей</t>
    </r>
    <r>
      <rPr>
        <i/>
        <sz val="9"/>
        <color theme="1"/>
        <rFont val="Times New Roman"/>
        <family val="1"/>
        <charset val="204"/>
      </rPr>
      <t>)***</t>
    </r>
  </si>
  <si>
    <r>
      <t xml:space="preserve">Ссылка на документы, подтверждающие, что  </t>
    </r>
    <r>
      <rPr>
        <b/>
        <u/>
        <sz val="9"/>
        <color theme="1"/>
        <rFont val="Times New Roman"/>
        <family val="1"/>
        <charset val="204"/>
      </rPr>
      <t>собственник объектов</t>
    </r>
    <r>
      <rPr>
        <b/>
        <sz val="9"/>
        <color theme="1"/>
        <rFont val="Times New Roman"/>
        <family val="1"/>
        <charset val="204"/>
      </rPr>
      <t xml:space="preserve"> ЭСХ </t>
    </r>
    <r>
      <rPr>
        <b/>
        <u/>
        <sz val="9"/>
        <color theme="1"/>
        <rFont val="Times New Roman"/>
        <family val="1"/>
        <charset val="204"/>
      </rPr>
      <t>не являлся единственным потребителем услуг</t>
    </r>
    <r>
      <rPr>
        <b/>
        <sz val="9"/>
        <color theme="1"/>
        <rFont val="Times New Roman"/>
        <family val="1"/>
        <charset val="204"/>
      </rPr>
      <t xml:space="preserve"> по передаче электрической энергии, оказываемых с использованием указанных объектов электросетевого хозяйства***</t>
    </r>
  </si>
  <si>
    <t>в соответствии с пп. 5 п. 28 Основ ценообразования,
утв. ПП РФ от 29.12.2011 № 1178</t>
  </si>
  <si>
    <t>в том числе</t>
  </si>
  <si>
    <t>Собственнику арендуемого имущества</t>
  </si>
  <si>
    <t>Доля собственника арендуемого имущества***</t>
  </si>
  <si>
    <t>Прочим потребителям</t>
  </si>
  <si>
    <t>принято к подтверждению</t>
  </si>
  <si>
    <t xml:space="preserve">по справкам арендодателя, в соответствии с пп. 5 п. 28  и п. 27  Основ ценообразования утв. ПП РФ от 29.12.2011 № 1178 </t>
  </si>
  <si>
    <t>дата подписания
и №***</t>
  </si>
  <si>
    <t>распространяет свое действие с даты***</t>
  </si>
  <si>
    <t>амортизация</t>
  </si>
  <si>
    <t>налог на имущество</t>
  </si>
  <si>
    <t>др. обязательные платежи*</t>
  </si>
  <si>
    <t>* сумму представлять с расшифровкой по видам фактически произведенных платежей, к суммам платежей приложить подтверждающие документы</t>
  </si>
  <si>
    <t>2) ссылка на документы, подтверждающие/обосновывающие фактические расходы</t>
  </si>
  <si>
    <t>*** маркер ячеек (столбцы 10, 11, 19, 28, 30, 31) будет снят при внесении ТСО запрашиваемых данных</t>
  </si>
  <si>
    <t>Адрес объекта аренды</t>
  </si>
  <si>
    <t>Прогнозный полезный объем электрической энергии, передаваемый через арендованные объекты электросетевого хозяйства за год, тыс. кВтч</t>
  </si>
  <si>
    <r>
      <t>Крупные потребители по указанному договору аренды/ доп. соглашению
(</t>
    </r>
    <r>
      <rPr>
        <b/>
        <u/>
        <sz val="9"/>
        <color theme="1"/>
        <rFont val="Times New Roman"/>
        <family val="1"/>
        <charset val="204"/>
      </rPr>
      <t>при отсутствии 100% доли потребления</t>
    </r>
    <r>
      <rPr>
        <b/>
        <sz val="9"/>
        <color theme="1"/>
        <rFont val="Times New Roman"/>
        <family val="1"/>
        <charset val="204"/>
      </rPr>
      <t xml:space="preserve"> э/э собственником ЭСХ - в одной ячейке через запятую </t>
    </r>
    <r>
      <rPr>
        <b/>
        <u/>
        <sz val="9"/>
        <color theme="1"/>
        <rFont val="Times New Roman"/>
        <family val="1"/>
        <charset val="204"/>
      </rPr>
      <t>указываются от 2-х и более потребителей</t>
    </r>
    <r>
      <rPr>
        <b/>
        <sz val="9"/>
        <color theme="1"/>
        <rFont val="Times New Roman"/>
        <family val="1"/>
        <charset val="204"/>
      </rPr>
      <t>)***</t>
    </r>
  </si>
  <si>
    <r>
      <t xml:space="preserve">Ссылка на документы, подтверждающие, что  </t>
    </r>
    <r>
      <rPr>
        <b/>
        <u/>
        <sz val="9"/>
        <color theme="1"/>
        <rFont val="Times New Roman"/>
        <family val="1"/>
        <charset val="204"/>
      </rPr>
      <t>собственник объектов</t>
    </r>
    <r>
      <rPr>
        <b/>
        <sz val="9"/>
        <color theme="1"/>
        <rFont val="Times New Roman"/>
        <family val="1"/>
        <charset val="204"/>
      </rPr>
      <t xml:space="preserve"> ЭСХ </t>
    </r>
    <r>
      <rPr>
        <b/>
        <u/>
        <sz val="9"/>
        <color theme="1"/>
        <rFont val="Times New Roman"/>
        <family val="1"/>
        <charset val="204"/>
      </rPr>
      <t>не является единственным потребителем услуг</t>
    </r>
    <r>
      <rPr>
        <b/>
        <sz val="9"/>
        <color theme="1"/>
        <rFont val="Times New Roman"/>
        <family val="1"/>
        <charset val="204"/>
      </rPr>
      <t xml:space="preserve"> по передаче электрической энергии, оказываемых с использованием указанных объектов электросетевого хозяйства***</t>
    </r>
  </si>
  <si>
    <t>в соответствии с пп. 5 п. 28 Основ ценообразования,
 утв. ПП РФ от 29.12.2011 № 1178</t>
  </si>
  <si>
    <t>в соответствии с пп. 5 п. 28 и п . 27 Основ ценообразования,
 утв. ПП РФ от 29.12.2011 № 1178</t>
  </si>
  <si>
    <t xml:space="preserve">Комментарии </t>
  </si>
  <si>
    <t>приложение/ДС
к дог. на передачу э/э на включение точек поставки (дата подписания
и №, распространяет действие с даты***)</t>
  </si>
  <si>
    <t xml:space="preserve">* сумму представить с расшифровкой по видам производимых платежей, к суммам платежей приложить обосновывающие документы </t>
  </si>
  <si>
    <t>**В случае, если договор предполагает пролонгацию, условия необходимо описать в комментариях</t>
  </si>
  <si>
    <t>1) ссылка на документы, подтверждающие/обосновывающие плановые расходы</t>
  </si>
  <si>
    <t>2) ссылка на локально-нормативные акты организации (приказы и пр.) - при наличии.</t>
  </si>
  <si>
    <t>*** маркер будет снят при внесении ТСО запрашиваемых данных</t>
  </si>
  <si>
    <t>учтено</t>
  </si>
  <si>
    <t>не учтено</t>
  </si>
  <si>
    <t>Договор учтен в ИПР (да/нет)</t>
  </si>
  <si>
    <t>Лизингодатель</t>
  </si>
  <si>
    <t>Собственник  объектов электросетевого хозяйства (полное наименование)</t>
  </si>
  <si>
    <t>Доп. соглашение к договору на передачу э/э на включение точек поставки</t>
  </si>
  <si>
    <t>Объекты лизинга</t>
  </si>
  <si>
    <t>Адрес объекта лизинга</t>
  </si>
  <si>
    <t>Количество оборудования, взятого в лизинг, в условных единицах,
у.е.</t>
  </si>
  <si>
    <t>Комментарии*</t>
  </si>
  <si>
    <t>№ договора 1</t>
  </si>
  <si>
    <t>не применимо</t>
  </si>
  <si>
    <t>№ доп. соглашения 1</t>
  </si>
  <si>
    <t>№ доп. соглашения 2</t>
  </si>
  <si>
    <t>№ доп. соглашения 3</t>
  </si>
  <si>
    <t>№ договора 2</t>
  </si>
  <si>
    <t>№ договора 3</t>
  </si>
  <si>
    <t>№ доп. соглашения 4</t>
  </si>
  <si>
    <t>№ доп. соглашения 5</t>
  </si>
  <si>
    <t>комментарии</t>
  </si>
  <si>
    <t>№ договора / № доп. соглашения</t>
  </si>
  <si>
    <t>Дата договора / доп. соглашения</t>
  </si>
  <si>
    <t>Собственник арендованного имущества</t>
  </si>
  <si>
    <t>Объект, адрес объекта</t>
  </si>
  <si>
    <t>Площадь</t>
  </si>
  <si>
    <t>Назначение</t>
  </si>
  <si>
    <t>Отнесено на деятельность по передаче</t>
  </si>
  <si>
    <t>в т.ч. амортизация</t>
  </si>
  <si>
    <t>в т.ч. налог на имущество</t>
  </si>
  <si>
    <t>Аренда нежилых  помещений всего, в том числе:</t>
  </si>
  <si>
    <t>Производственные помещения</t>
  </si>
  <si>
    <t>Непроизводственные помещения</t>
  </si>
  <si>
    <t>Аренда автотранспортных средств всего, в том числе:</t>
  </si>
  <si>
    <t>Аренда (прочее) всего, в том числе:</t>
  </si>
  <si>
    <t>Собственник объектов, взятых в лизинг</t>
  </si>
  <si>
    <t>Лизинг нежилых  помещений всего, в том числе:</t>
  </si>
  <si>
    <t>Лизинг автотранспортных средств всего, в том числе:</t>
  </si>
  <si>
    <t>Лизинг (прочее) всего, в том числе:</t>
  </si>
  <si>
    <t>Прочее</t>
  </si>
  <si>
    <t>Наименование основного средства</t>
  </si>
  <si>
    <t>Амортизационная группа (в соответствии с классификацией ОС, включаемых в амортизационные группы)</t>
  </si>
  <si>
    <t>Вид объекта сетевого хозяйства (КЛЭП, ВЛЭП, Подстанция, прочее)</t>
  </si>
  <si>
    <t>Уровень напряжения</t>
  </si>
  <si>
    <t>Адрес</t>
  </si>
  <si>
    <t>Инв. номер группы (если применимо)</t>
  </si>
  <si>
    <t>Дата ввода в эксплуатацию</t>
  </si>
  <si>
    <t>Балансовая (первоначальная) стоимость при вводе в эксплуатацию</t>
  </si>
  <si>
    <t>Срок полезного использования при вводе в эксплуатацию</t>
  </si>
  <si>
    <t>балансовая стоимость</t>
  </si>
  <si>
    <t>накопленная амортизация 
(всего с момента ввода в эксплуатацию)</t>
  </si>
  <si>
    <t>остаточная стоимость</t>
  </si>
  <si>
    <t>срок полезного использования (остаточный)</t>
  </si>
  <si>
    <t xml:space="preserve">введено, в т.ч. по модернизации и реконструкции </t>
  </si>
  <si>
    <t>выбыло</t>
  </si>
  <si>
    <t>Величина амортизационных отчислений в год, утверждено</t>
  </si>
  <si>
    <t>Фактическая величина амортизационных отчислений в месяц</t>
  </si>
  <si>
    <t>Величина амортизационных отчислений за 12 месяцев</t>
  </si>
  <si>
    <t>Сумма фактически начисленной амортизации (по данным бухгалтерского учета)</t>
  </si>
  <si>
    <t>процент отнесения на передачу э/э</t>
  </si>
  <si>
    <t>Сумма фактически начисленной амортизации, отнесенной на передачу э/э</t>
  </si>
  <si>
    <t>Среднегодовая стоимость имущества</t>
  </si>
  <si>
    <t>Ставка налога</t>
  </si>
  <si>
    <t>Расходы, отнесенные на деятельность по передаче э/э</t>
  </si>
  <si>
    <t>MAX срок полезного использования или максимальный остаточный для введенных БУ или реконструированных</t>
  </si>
  <si>
    <t>первоначальная балансовая стоимость или остаточная при реконструкции</t>
  </si>
  <si>
    <t>величина амортизационных отчислений в месяц</t>
  </si>
  <si>
    <t>мес.</t>
  </si>
  <si>
    <t>Итого по ВН (тыс. руб.)</t>
  </si>
  <si>
    <t>Итого по СН1 (тыс. руб.)</t>
  </si>
  <si>
    <t>Итого по СН2 (тыс. руб.)</t>
  </si>
  <si>
    <t>Итого по НН (тыс. руб.)</t>
  </si>
  <si>
    <t>ИТОГО (тыс. руб.)</t>
  </si>
  <si>
    <t>Расчет амортизационных отчислений  по основным средствам, находящимся в собственности организации и участвующих в деятельности по передаче электрической энергии</t>
  </si>
  <si>
    <t xml:space="preserve">Наименование основного средства </t>
  </si>
  <si>
    <t>Инв. номер или № группы*</t>
  </si>
  <si>
    <t>Величина амортизационных отчислений в месяц</t>
  </si>
  <si>
    <t>Величина амортизационных отчислений, отнесенная на передачу э/э, учтенная в смете затрат, за год</t>
  </si>
  <si>
    <t>Ставка налога на имущество</t>
  </si>
  <si>
    <t>MAX срок полезного использования или максимальный остаточный для ранее эксплуатируемых объектов в другой организации (при наличии), а также реконструированных на дату признания расходов</t>
  </si>
  <si>
    <t>первоначальная балансовая стоимость или сумма величины остаточной стоимости  по МАХ СПИ  на дату реконструкции и  изменения стоимости</t>
  </si>
  <si>
    <t>величина амортизационных отчислений, отнесенная на передачу э/э</t>
  </si>
  <si>
    <t>Итого по ВН</t>
  </si>
  <si>
    <t>Итого по СН1</t>
  </si>
  <si>
    <t>Итого по СН2</t>
  </si>
  <si>
    <t>Итого по НН</t>
  </si>
  <si>
    <t>на основе таблицы 1.17 приложения к приказу ФСТ 20-э/2</t>
  </si>
  <si>
    <t>Свод амортизационных отчислений на восстановление ОС</t>
  </si>
  <si>
    <t>№
п/п</t>
  </si>
  <si>
    <t>Балансовая стоимость основных производственных фондов на начало периода регулирования</t>
  </si>
  <si>
    <t>Ввод основных производственных фондов</t>
  </si>
  <si>
    <t>3</t>
  </si>
  <si>
    <t>Выбытие основных производственных фондов</t>
  </si>
  <si>
    <t>4</t>
  </si>
  <si>
    <t>Средняя за отчетный период стоимость основных производственных фондов, в том числе:</t>
  </si>
  <si>
    <t>5</t>
  </si>
  <si>
    <t>Средняя норма амортизации</t>
  </si>
  <si>
    <t>6</t>
  </si>
  <si>
    <t>Сумма амортизационных отчислений</t>
  </si>
  <si>
    <t>на основе таблицы 1.17.1 приложения к приказу ФСТ 20-э/2</t>
  </si>
  <si>
    <t>№ п.п.</t>
  </si>
  <si>
    <t>Виды производственных фондов</t>
  </si>
  <si>
    <t>стоимость на начало регулируемого периода</t>
  </si>
  <si>
    <t xml:space="preserve">стоимость на конец регулируемого периода </t>
  </si>
  <si>
    <t xml:space="preserve">среднегодовая стоимость </t>
  </si>
  <si>
    <t>7</t>
  </si>
  <si>
    <t>8</t>
  </si>
  <si>
    <t>Линии электропередач</t>
  </si>
  <si>
    <t>Всего (стр. 1+стр.2)</t>
  </si>
  <si>
    <t>Прочие неподконтрольные расходы (за отчетный и плановый периоды)</t>
  </si>
  <si>
    <t>Прочие неподконтрольные расходы всего, в том числе:</t>
  </si>
  <si>
    <t>Расходы на обслуживание заемных средств на капитальные вложения</t>
  </si>
  <si>
    <t xml:space="preserve"> Расходы на возврат заемных средств, направляемых на финансирование капитальных вложений</t>
  </si>
  <si>
    <t>Укажите название категории</t>
  </si>
  <si>
    <t/>
  </si>
  <si>
    <t>Добавить категорию затрат</t>
  </si>
  <si>
    <t>Реквизиты договора</t>
  </si>
  <si>
    <t>Срок займа</t>
  </si>
  <si>
    <t>Ставка в год, %</t>
  </si>
  <si>
    <t>Сумма займа на нач.года, тыс.руб.</t>
  </si>
  <si>
    <t>Сумма процентов в год</t>
  </si>
  <si>
    <t>Получение займов и кредитов за расчетный период, тыс.руб.</t>
  </si>
  <si>
    <t>Возврат займов и кредитов за расчетный период, тыс.руб.</t>
  </si>
  <si>
    <t>Сумма займа на конец года, тыс.руб.</t>
  </si>
  <si>
    <t>Сведения о назначении займа (на какие цели)</t>
  </si>
  <si>
    <t>Займы и кредиты на капитальные вложения</t>
  </si>
  <si>
    <t>на основе таблицы 1.21.3 приложения к приказу ФСТ 20-э/2</t>
  </si>
  <si>
    <t>Расчет балансовой прибыли , принимаемой при установлении тарифов 
на передачу электрической энергии</t>
  </si>
  <si>
    <t>Прибыль на развитие производства</t>
  </si>
  <si>
    <t xml:space="preserve">    в том числе:</t>
  </si>
  <si>
    <t xml:space="preserve"> - капитальные вложения</t>
  </si>
  <si>
    <t xml:space="preserve">Прибыль на социальное развитие </t>
  </si>
  <si>
    <t>Льготы, компенсации и проч.выплаты по Кол. договору</t>
  </si>
  <si>
    <t>6.</t>
  </si>
  <si>
    <t>Прибыль, облагаемая налогом</t>
  </si>
  <si>
    <t>7.</t>
  </si>
  <si>
    <t>Налоги, сборы, платежи - всего</t>
  </si>
  <si>
    <t>в том числе (расшифровка):</t>
  </si>
  <si>
    <t>7.1.</t>
  </si>
  <si>
    <t>7.2.</t>
  </si>
  <si>
    <t>Плата за землю</t>
  </si>
  <si>
    <t>7.4.</t>
  </si>
  <si>
    <t>Транспортный налог</t>
  </si>
  <si>
    <t>7.5.</t>
  </si>
  <si>
    <t>Прочие налоги, сборы и платежи</t>
  </si>
  <si>
    <t>8.</t>
  </si>
  <si>
    <t>Справочная таблица: доходы по депозитам</t>
  </si>
  <si>
    <t>Срок депозита</t>
  </si>
  <si>
    <t>Сумма депозита на нач.года, тыс.руб.</t>
  </si>
  <si>
    <t>Сумма процентных доходов в год</t>
  </si>
  <si>
    <t>Внесение средств на депозитный счет за расчетный период, тыс.руб.</t>
  </si>
  <si>
    <t>Снятие средств с депозитного счета за расчетный период, тыс.руб.</t>
  </si>
  <si>
    <t>Сумма депозита на конец года, тыс.руб.</t>
  </si>
  <si>
    <t xml:space="preserve">Информация о доходах, возникших у ТСО вследствие взыскания стоимости выявленного в порядке, предусмотренном Основными положениями функционирования розничных рынков электрической энергии, объема бездоговорного потребления электрической энергии с лиц,
осуществляющих бездоговорное потребление электрической энергии </t>
  </si>
  <si>
    <t>Потребитель</t>
  </si>
  <si>
    <t>Резвизиты акта</t>
  </si>
  <si>
    <t>Услуги по передаче эл.эн., руб./кВтч</t>
  </si>
  <si>
    <t>Цена на покупку потерь</t>
  </si>
  <si>
    <t>Дополнительный доход</t>
  </si>
  <si>
    <t>номер</t>
  </si>
  <si>
    <t>дата</t>
  </si>
  <si>
    <t>объем
бездоговорного потребления</t>
  </si>
  <si>
    <t>цена,
применяемая для определения стоимости</t>
  </si>
  <si>
    <t>стоимость
объема бездоговорного потребления</t>
  </si>
  <si>
    <t>кВтч</t>
  </si>
  <si>
    <t>руб./кВтч</t>
  </si>
  <si>
    <t>руб. (без НДС)</t>
  </si>
  <si>
    <t>Январь</t>
  </si>
  <si>
    <t>Акт о неучтенном потреблении э/э</t>
  </si>
  <si>
    <t>Февраль</t>
  </si>
  <si>
    <t>Март</t>
  </si>
  <si>
    <t>Апрель</t>
  </si>
  <si>
    <t>5.</t>
  </si>
  <si>
    <t>Май</t>
  </si>
  <si>
    <t>Июнь</t>
  </si>
  <si>
    <t>Июль</t>
  </si>
  <si>
    <t>Август</t>
  </si>
  <si>
    <t>9.</t>
  </si>
  <si>
    <t>Сентябрь</t>
  </si>
  <si>
    <t>10.</t>
  </si>
  <si>
    <t>Октябрь</t>
  </si>
  <si>
    <t>11.</t>
  </si>
  <si>
    <t>Ноябрь</t>
  </si>
  <si>
    <t>12.</t>
  </si>
  <si>
    <t>Декабрь</t>
  </si>
  <si>
    <t>13.</t>
  </si>
  <si>
    <t>Информация по расчетам за оказанные  услуги  по передаче электрической энергии</t>
  </si>
  <si>
    <t>1. Фактические данные</t>
  </si>
  <si>
    <t>(доходные договоры)</t>
  </si>
  <si>
    <t>Отчетный период</t>
  </si>
  <si>
    <t>Дата и номер заключенного договора на услуги по передаче электрической  энергии*</t>
  </si>
  <si>
    <t>Контрагент</t>
  </si>
  <si>
    <t>Вариант тарифа (одноставочный/
двухставочный)</t>
  </si>
  <si>
    <t>№ и дата  акта оказания услуг по передаче электрической энергии</t>
  </si>
  <si>
    <t>Количество ээ, оплачиваемой по одноставочному тарифу  (тыс.квтч)</t>
  </si>
  <si>
    <t>Количество ээ, оплачиваемой по двухставочному тарифу (тыс.квтч)</t>
  </si>
  <si>
    <t>Оплачиваемая мощность (МВт)</t>
  </si>
  <si>
    <t>Стоимость по Акту                       (тыс. руб. с НДС)</t>
  </si>
  <si>
    <t>Стоимость по Акту
(тыс. руб. 
без НДС)</t>
  </si>
  <si>
    <t>Фактическая оплата 
(тыс. руб. с НДС)</t>
  </si>
  <si>
    <t>Фактическая оплата 
(тыс. руб. 
без НДС)</t>
  </si>
  <si>
    <t>Месяц оплаты</t>
  </si>
  <si>
    <t xml:space="preserve">№ и дата платежного поручения </t>
  </si>
  <si>
    <t>январь</t>
  </si>
  <si>
    <t>Добавить акт</t>
  </si>
  <si>
    <t>февраль</t>
  </si>
  <si>
    <t>март</t>
  </si>
  <si>
    <t>апрель</t>
  </si>
  <si>
    <t>май</t>
  </si>
  <si>
    <t>июнь</t>
  </si>
  <si>
    <t>июль</t>
  </si>
  <si>
    <t>август</t>
  </si>
  <si>
    <t>сентябрь</t>
  </si>
  <si>
    <t>октябрь</t>
  </si>
  <si>
    <t>ноябрь</t>
  </si>
  <si>
    <t>декабрь</t>
  </si>
  <si>
    <t>Добавить договор</t>
  </si>
  <si>
    <t>2. Расчет отклонения для корректировки</t>
  </si>
  <si>
    <t>Стоимость услуг по передаче э/э  по актам, тыс. руб. без НДС</t>
  </si>
  <si>
    <t>Ставка на компенсацию потерь, руб./тыс. кВтч</t>
  </si>
  <si>
    <t>Полезный отпуск электроэнергии, тыс. кВтч</t>
  </si>
  <si>
    <t>Компенсация расходов на потери, тыс. руб.</t>
  </si>
  <si>
    <t>Расчет компенсации НВВ на содержание на базе фактической выручки, тыс. руб.</t>
  </si>
  <si>
    <t>Утвержденная НВВ на содержание, тыс. руб.</t>
  </si>
  <si>
    <t>Отклонние НВВ на содержание, тыс. руб.</t>
  </si>
  <si>
    <t>Информация о фактических расходах на покупку электроэнергии в целях компенсации потерь</t>
  </si>
  <si>
    <t>(расходные договоры)</t>
  </si>
  <si>
    <t>Показатель</t>
  </si>
  <si>
    <t>Дата и номер заключенного договора купли-продажи электрической энергии на компенсацию потерь</t>
  </si>
  <si>
    <t>№ и дата акта приема-передачи электрической энергии</t>
  </si>
  <si>
    <t>Количество  электрической энергии для  компенсации потерь,  (кВтч), в т.ч.:</t>
  </si>
  <si>
    <t>Цена покупки нормативных потерь c НДС,  (руб/кВтч)</t>
  </si>
  <si>
    <t>Цена покупки сверхнормативных потерь с НДС,  (руб/кВтч)</t>
  </si>
  <si>
    <t>Средневзвешенная цена покупки потерь с НДС,  (руб/кВтч)</t>
  </si>
  <si>
    <t xml:space="preserve">Стоимость с НДС (руб.) </t>
  </si>
  <si>
    <t xml:space="preserve">Стоимость без НДС (руб.) </t>
  </si>
  <si>
    <t>Средневзвешенная цена покупки потерь без НДС,  (руб/кВтч)</t>
  </si>
  <si>
    <t>Примечание</t>
  </si>
  <si>
    <t xml:space="preserve">Всего </t>
  </si>
  <si>
    <t>Нормативных</t>
  </si>
  <si>
    <t>Сверхнормативных</t>
  </si>
  <si>
    <t>Расходы на услуги ФСК</t>
  </si>
  <si>
    <t>Размерность</t>
  </si>
  <si>
    <t>год</t>
  </si>
  <si>
    <t>Заявленная мощность</t>
  </si>
  <si>
    <t>Ставка тарифа на содержание объектов</t>
  </si>
  <si>
    <t>руб./МВт в мес.</t>
  </si>
  <si>
    <t>Стоимость услуг по передаче электрической энергии на содержание сетей</t>
  </si>
  <si>
    <t>Отпуск электрической энергии в сальдированном выражении из сетей напряжением 330 кВ и выше</t>
  </si>
  <si>
    <t>МВт*ч</t>
  </si>
  <si>
    <t>Отпуск электрической энергии, неучтенный в предыдущих расчетных периодах в сальдированном выражении из сетей напряжением 330 кВ и выше</t>
  </si>
  <si>
    <t>Отпуск электрической энергии в сальдированном выражении из сетей напряжением 330 кВ и выше с учетом корректировки</t>
  </si>
  <si>
    <t>Отпуск электрической энергии в сальдированном выражении из сетей напряжением 220 кВ и ниже</t>
  </si>
  <si>
    <t>Отпуск электрической энергии, неучтенный в предыдущих расчетных периодах в сальдированном выражении из сетей напряжением 220 кВ и ниже</t>
  </si>
  <si>
    <t>4.6</t>
  </si>
  <si>
    <t>Отпуск электрической энергии в сальдированном выражении из сетей напряжением 220 кВ и ниже с учетом корректировки</t>
  </si>
  <si>
    <t>Отпуск электрической энергии в сальдированном выражении из сетей ЕНЭС, расположенных на смежной для Заказчика территории субъекта РФ</t>
  </si>
  <si>
    <t>Отпуск электрической энергии, неучтенный в предыдущих расчетных периодах в сальдированном выражении из сетей ЕНЭС, расположенных на смежной для Заказчика территории субъекта РФ</t>
  </si>
  <si>
    <t>Отпуск электрической энергии в сальдированном выражении из сетей ЕНЭС, расположенных на смежной для Заказчика территории субъекта РФ с учетом корректировки</t>
  </si>
  <si>
    <t>Норматив технологических потерь электрической энергии в сетях напряжением 330 кВ и выше</t>
  </si>
  <si>
    <t>Норматив технологических потерь электрической энергии в сетях напряжением 220 кВ и ниже</t>
  </si>
  <si>
    <t>Норматив технологических потерь электрической энергии в сетях ЕНЭС, расположенных на смежной для Заказчика территории субъекта РФ</t>
  </si>
  <si>
    <t>Объем нормативных потерь электрической энергии, рассчитанных исходя из отпуска электрической энергии в сальдированном выражении из сетей напряжением 330 кВ и выше</t>
  </si>
  <si>
    <t>Объем нормативных потерь электрической энергии, рассчитанных исходя из отпуска электрической энергии в сальдированном выражении из сетей напряжением 220 кВ и ниже</t>
  </si>
  <si>
    <t>Объем нормативных потерь электрической энергии, рассчитанных исходя из отпуска электрической энергии в сальдированном выражении из сетей ЕНЭС, расположенных на смежной для Заказчика территории субъекта РФ</t>
  </si>
  <si>
    <t>Ставка тариф на оплату нормативных технологических потерь электроэнергии (Тариф на покупку объемов электрической энерегии, необходимых для компенсации потерь электрической энергии в ЕНЭС )</t>
  </si>
  <si>
    <t>руб./МВт*ч</t>
  </si>
  <si>
    <t>Ставка тариф на оплату нормативных технологических потерь электроэнергии (Тариф на покупку объемов электрической энерегии, необходимых для компенсации потерь электрической энергии в ЕНЭС по смежной для Заказчика территории субъекта РФ)</t>
  </si>
  <si>
    <t>Стоимость нормативных потерь электрической энергии, рассчитанных исходя из отпуска электрической энергии в сальдированном выражении из сетей напряжением 330 кВ и выше</t>
  </si>
  <si>
    <t>Стоимость нормативных потерь электрической энергии, рассчитанных исходя из отпуска электрической энергии в сальдированном выражении из сетей напряжением 220 кВ и ниже</t>
  </si>
  <si>
    <t>Стоимость нормативных потерь электрической энергии, рассчитанных исходя из отпуска электрической энергии в сальдированном выражении из сетей ЕНЭС, расположенных на смежной для Заказчика территории субъекта РФ</t>
  </si>
  <si>
    <t>Объем потерь электрической энергии, оплаченных в составе цен (тарифов) на оптовом рынке электрической энергии (мощности)</t>
  </si>
  <si>
    <t>10</t>
  </si>
  <si>
    <t>Стоимость потерь электрической энергии, оплаченных в составе цен (тарифов) на оптовом рынке электрической энергии (мощности)</t>
  </si>
  <si>
    <t>11</t>
  </si>
  <si>
    <t>Итого стоимость услуги по передаче электрической энергии по единой национальной (общероссийской) электрической сети (без НДС)</t>
  </si>
  <si>
    <t>12</t>
  </si>
  <si>
    <t>НДС</t>
  </si>
  <si>
    <t>Итого стоимость услуги по передаче электрической энергии по единой национальной (общероссийской) электрической сети (с НДС)</t>
  </si>
  <si>
    <t>Расчет НВВ по RAB</t>
  </si>
  <si>
    <t>НВВ Всего (без ТСО)</t>
  </si>
  <si>
    <t>Подконтрольные расходы</t>
  </si>
  <si>
    <t>Неподконтрольные расходы</t>
  </si>
  <si>
    <t>Возврат капитала</t>
  </si>
  <si>
    <t>Доход на капитал</t>
  </si>
  <si>
    <t>Корректировка доходности инвестированного капитала</t>
  </si>
  <si>
    <t>Корректировка на основе фактических данных</t>
  </si>
  <si>
    <t>Корректировка по исполнению инвестиционной программы</t>
  </si>
  <si>
    <t>Экономия операционых расходов</t>
  </si>
  <si>
    <t>Экономия от снижения технологических потерь</t>
  </si>
  <si>
    <t>ВОЗВРАТ И ДОХОД НА КАПИТАЛ</t>
  </si>
  <si>
    <t>10.0</t>
  </si>
  <si>
    <t>Остаточная стоимость капитала, инвестированного до перехода на регулирование методом RAB с учетом возврата и выбытия - ОРИК</t>
  </si>
  <si>
    <t>10.1</t>
  </si>
  <si>
    <t>10.2</t>
  </si>
  <si>
    <t>Первоначальная стоимость инвестированного капитала - ПИК</t>
  </si>
  <si>
    <t>10.3</t>
  </si>
  <si>
    <t>Расходы на финансирование инвестиционной программы</t>
  </si>
  <si>
    <t>10.4</t>
  </si>
  <si>
    <t>Стоимость фактически введенных объектов в каждом году</t>
  </si>
  <si>
    <t>10.5</t>
  </si>
  <si>
    <t>10.6</t>
  </si>
  <si>
    <t>10.7</t>
  </si>
  <si>
    <t>Период возврата с учетом ИИК</t>
  </si>
  <si>
    <t>Расчет возврата капитала, в том числе</t>
  </si>
  <si>
    <t>11.1</t>
  </si>
  <si>
    <t>Возврат "старого" капитала</t>
  </si>
  <si>
    <t>11.2</t>
  </si>
  <si>
    <t>Возврат "новых" инвестиций (согласно ИПР)</t>
  </si>
  <si>
    <t>Параметры для расчета дохода на капитал</t>
  </si>
  <si>
    <t>12.1</t>
  </si>
  <si>
    <t>Остаточная величина инвестированного капитала - ОИК</t>
  </si>
  <si>
    <t>12.2</t>
  </si>
  <si>
    <t>Чистый оборотный капитал - ЧОК</t>
  </si>
  <si>
    <t>12.3</t>
  </si>
  <si>
    <t>Норма доходности на "старый" капитал</t>
  </si>
  <si>
    <t>12.4</t>
  </si>
  <si>
    <t xml:space="preserve">Норма доходности на "новый" капитал </t>
  </si>
  <si>
    <t>12.5</t>
  </si>
  <si>
    <t>Региональный коэффициент доходности</t>
  </si>
  <si>
    <t>Расчет дохода на капитала, в том числе:</t>
  </si>
  <si>
    <t>13.1</t>
  </si>
  <si>
    <t>доход на "старый" капитал</t>
  </si>
  <si>
    <t>13.2</t>
  </si>
  <si>
    <t>доход на "новый" капитал  и оборотный капитал</t>
  </si>
  <si>
    <t>РАСЧЕТНЫЕ ДАННЫЕ</t>
  </si>
  <si>
    <t>Расчет налога на прибыль</t>
  </si>
  <si>
    <t>Доходы</t>
  </si>
  <si>
    <t>Компенсация выпадающих/излишне полученных доходов</t>
  </si>
  <si>
    <t>1.4</t>
  </si>
  <si>
    <t>Расходы</t>
  </si>
  <si>
    <t>Амортизация учитываемая в целях налогообложения</t>
  </si>
  <si>
    <t>2.1.1</t>
  </si>
  <si>
    <t>амортизация текущего года</t>
  </si>
  <si>
    <t>2.1.2</t>
  </si>
  <si>
    <t>амортизация, не учитываемая в целях налогообложения</t>
  </si>
  <si>
    <t>Налогооблагаемая база</t>
  </si>
  <si>
    <t>Ставка налога на прибыль</t>
  </si>
  <si>
    <t>Расчет доступных средств на инвестиции</t>
  </si>
  <si>
    <t>Возврат и доход на капитал - всего</t>
  </si>
  <si>
    <t>Расходы из возврата и дохода на капитал</t>
  </si>
  <si>
    <t>Проценты за кредит с начала года</t>
  </si>
  <si>
    <t>Возврат и доход на капитала - на инвестиции</t>
  </si>
  <si>
    <t>Амортизация на ИПР</t>
  </si>
  <si>
    <t>Объем сглаживания, корректировка</t>
  </si>
  <si>
    <t>Доступные средства на инвестиции</t>
  </si>
  <si>
    <t>Источники финансирования ИПР</t>
  </si>
  <si>
    <t>ИПР всего</t>
  </si>
  <si>
    <t>Источники RAB</t>
  </si>
  <si>
    <t>Заемные средства на инвестиции</t>
  </si>
  <si>
    <t>Бухгалтерские источники финансирования ИПР</t>
  </si>
  <si>
    <t>Прибыль</t>
  </si>
  <si>
    <t>Расчет процентов за кредит и кредитного плеча</t>
  </si>
  <si>
    <t>Сумма заемных средств на конец года</t>
  </si>
  <si>
    <t>Заемные средства на конец предыдущего периода</t>
  </si>
  <si>
    <t>Заемные средства на инвестиции с учетом сглаживания и корректировок</t>
  </si>
  <si>
    <t>Заемные средства на ЧОК</t>
  </si>
  <si>
    <t>Проверка</t>
  </si>
  <si>
    <t>Справочно:</t>
  </si>
  <si>
    <t>Погашение заемных средств</t>
  </si>
  <si>
    <t>Расчет процентов за кредит с начала года</t>
  </si>
  <si>
    <t>Ставка за пользование кредитом на начало года</t>
  </si>
  <si>
    <t>Величина кредита на начало года</t>
  </si>
  <si>
    <t>Проценты за пользование кредитом с начала года</t>
  </si>
  <si>
    <t>Расчет процентов за кредит в течение года</t>
  </si>
  <si>
    <t>Ставка за пользование кредитом, привлеченного в середине года</t>
  </si>
  <si>
    <t>Величина кредита</t>
  </si>
  <si>
    <t>Проценты за пользование кредитом в течение года</t>
  </si>
  <si>
    <t>ИТОГО Проценты за кредит всего</t>
  </si>
  <si>
    <t>Расчет кредитного плеча</t>
  </si>
  <si>
    <t>Кредитное плечо</t>
  </si>
  <si>
    <t>Доля займов на финансирование инвестпрограммы</t>
  </si>
  <si>
    <t>Долг/Прибыль до налогообложения</t>
  </si>
  <si>
    <t>РАСЧЕТ РОСТА ТАРИФА</t>
  </si>
  <si>
    <t>Полезный отпуск</t>
  </si>
  <si>
    <t>Средний тариф РСК</t>
  </si>
  <si>
    <t>коп./кВтч</t>
  </si>
  <si>
    <t>Рост среднего тарифа</t>
  </si>
  <si>
    <t>тыс. руб. без НДС</t>
  </si>
  <si>
    <t>Период реализации ИПР</t>
  </si>
  <si>
    <t>Утверждено до корректировки</t>
  </si>
  <si>
    <t>Утверждено в ИПР</t>
  </si>
  <si>
    <t>Выполнение общее</t>
  </si>
  <si>
    <t>Выполнено по утв. проектам</t>
  </si>
  <si>
    <t>Выполнено по утв. Проектам версия регулятора</t>
  </si>
  <si>
    <t>Отклонение общее</t>
  </si>
  <si>
    <t>% выполнения утв. проектов</t>
  </si>
  <si>
    <t>Выполнено
по утв. объемам</t>
  </si>
  <si>
    <t>% выполнения утв. объемов</t>
  </si>
  <si>
    <t>Выполнено
вне утв. объемов ИПР</t>
  </si>
  <si>
    <t>Невыполнение
утв. объемов ИПР</t>
  </si>
  <si>
    <t>Выполнено
вне утв. проектов ИПР</t>
  </si>
  <si>
    <t>Всего, в том числе</t>
  </si>
  <si>
    <t>Тарифные источники, в т.ч.:</t>
  </si>
  <si>
    <t>прибыль</t>
  </si>
  <si>
    <t>1.1.3</t>
  </si>
  <si>
    <t>лизинг</t>
  </si>
  <si>
    <t>Прочие источники</t>
  </si>
  <si>
    <t>Дополнительная эмиссия акций</t>
  </si>
  <si>
    <t>1.2.2</t>
  </si>
  <si>
    <t>Плата за техприсоединение</t>
  </si>
  <si>
    <t>1.2.3</t>
  </si>
  <si>
    <t>Субсидии</t>
  </si>
  <si>
    <t>1.2.4</t>
  </si>
  <si>
    <t>Прочие</t>
  </si>
  <si>
    <t>2012</t>
  </si>
  <si>
    <t>Расчет котловых тарифов на услуги по передаче</t>
  </si>
  <si>
    <t>Расчет экономически обоснованных тарифов на услуги по передаче электрической энергии</t>
  </si>
  <si>
    <t>Ставка на содержание электрических сетей</t>
  </si>
  <si>
    <t>руб/МВт.мес</t>
  </si>
  <si>
    <t>НВВ на содержание электрических сетей</t>
  </si>
  <si>
    <t>Отпуск мощности потребителям</t>
  </si>
  <si>
    <t>Переток на низший уровень напряжения</t>
  </si>
  <si>
    <t>Ставка за оплату технологического расхода (потерь) электроэнергии</t>
  </si>
  <si>
    <t>руб/МВт.ч</t>
  </si>
  <si>
    <t>Расходы на оплату потерь электроэнергии в сетях</t>
  </si>
  <si>
    <t>Отпуск электроэнергии потребителям</t>
  </si>
  <si>
    <t>млн.кВт.ч</t>
  </si>
  <si>
    <t>Заявленная мощность потребителей региона</t>
  </si>
  <si>
    <t>Заявленная мощность населения</t>
  </si>
  <si>
    <t>Полезный отпуск ээ потребителям региона</t>
  </si>
  <si>
    <t xml:space="preserve">Полезный отпуск ээ населению </t>
  </si>
  <si>
    <t>Расчет тарифов с учетом перекрестного субсидирования для группы потребителей "Население"</t>
  </si>
  <si>
    <t>Полезный отпуск ээ населению</t>
  </si>
  <si>
    <t>Экономически обоснованный тариф для населения</t>
  </si>
  <si>
    <t xml:space="preserve">Средний тариф на услуги по передаче электрической энергии для населения </t>
  </si>
  <si>
    <t>Наличие в субъекте РФ перекрестного субсидирования населения за счет прочих потребителей (влияет на расчет экономически обоснованного тарифа для населения (строка № 9)</t>
  </si>
  <si>
    <t>присутствует</t>
  </si>
  <si>
    <t>Сумма перекрестного субсидирования по населению</t>
  </si>
  <si>
    <t>Расчет тарифов с учетом перекрестного субсидирования для группы потребителей "Прочие"</t>
  </si>
  <si>
    <t>Сумма перекрестного субсидирования</t>
  </si>
  <si>
    <t>Сумма перекрестного субсидирования в тарифах ВН1</t>
  </si>
  <si>
    <t>Сумма перекрестки по мощности</t>
  </si>
  <si>
    <t>15</t>
  </si>
  <si>
    <t>Сумма перекрестки по энергии</t>
  </si>
  <si>
    <t>16</t>
  </si>
  <si>
    <t>Ставка перекрестки</t>
  </si>
  <si>
    <t xml:space="preserve">Ставка перекрестки </t>
  </si>
  <si>
    <t>ИТОГО ставка на содержание электрических сетей</t>
  </si>
  <si>
    <t xml:space="preserve">руб/МВт.мес </t>
  </si>
  <si>
    <t>19</t>
  </si>
  <si>
    <t>ИТОГО ставка на оплату технологического расхода (потерь) электроэнергии</t>
  </si>
  <si>
    <t>20</t>
  </si>
  <si>
    <t>21</t>
  </si>
  <si>
    <t>Объем условных единиц</t>
  </si>
  <si>
    <t>22</t>
  </si>
  <si>
    <t>Стоимость обслуживания единицы сети</t>
  </si>
  <si>
    <t>Инструкция по загрузке сопроводительных материалов:</t>
  </si>
  <si>
    <t>Изменения в данное тарифное решение</t>
  </si>
  <si>
    <t>Тарифы, утвержденные решением регионального органа регулирования на текущий период, а так же планируемые к утверждению на последующие периоды</t>
  </si>
  <si>
    <t>23</t>
  </si>
  <si>
    <t>Ставка на содержание (прочие потребители)</t>
  </si>
  <si>
    <t>24</t>
  </si>
  <si>
    <t>Ставка на оплату технологического расхода (потерь) электрической энергии (прочие потребители)</t>
  </si>
  <si>
    <t>25</t>
  </si>
  <si>
    <t>Одноставочный тариф (прочие потребители)</t>
  </si>
  <si>
    <t>При несовпадении строк 18-19-20 со значениями строк
 23-24-25 необходимо загрузить пояснение в формате PDF</t>
  </si>
  <si>
    <t>по предложениям об установлении тарифов, долгосрочных параметров регулирования на услуги по передаче электрической энергии</t>
  </si>
  <si>
    <t>на</t>
  </si>
  <si>
    <t>Голубым выделены ячейки, заполняемые автоматически</t>
  </si>
  <si>
    <t>(расчетный период регулирования)</t>
  </si>
  <si>
    <t>(полное наименование юридического лица)</t>
  </si>
  <si>
    <t>Раздел 1. ЭКСПЕРТИЗА ТЕХНИКО-ЭКОНОМИЧЕСКИХ ПОКАЗАТЕЛЕЙ</t>
  </si>
  <si>
    <t>1. Основания для проведения экспертизы.</t>
  </si>
  <si>
    <r>
      <t>Анкетные данные регулируемой «Организации»</t>
    </r>
    <r>
      <rPr>
        <vertAlign val="superscript"/>
        <sz val="12"/>
        <rFont val="PF Din Text Cond Pro Light"/>
        <charset val="204"/>
      </rPr>
      <t>1</t>
    </r>
  </si>
  <si>
    <t>Полное наименование организации</t>
  </si>
  <si>
    <t>Сокращенное наименование организации</t>
  </si>
  <si>
    <t>Юридический адрес организации</t>
  </si>
  <si>
    <t>ИНН</t>
  </si>
  <si>
    <t>КПП</t>
  </si>
  <si>
    <t xml:space="preserve">Здесь и далее регулируемая организация, в отношении которой произведена экспертиза обозначено как «Организация» </t>
  </si>
  <si>
    <r>
      <t xml:space="preserve">Здесь и далее регулирующий орган в лице </t>
    </r>
    <r>
      <rPr>
        <i/>
        <sz val="12"/>
        <color rgb="FFFF0000"/>
        <rFont val="PF Din Text Cond Pro Light"/>
        <charset val="204"/>
      </rPr>
      <t>«___»</t>
    </r>
    <r>
      <rPr>
        <i/>
        <sz val="12"/>
        <rFont val="PF Din Text Cond Pro Light"/>
        <charset val="204"/>
      </rPr>
      <t xml:space="preserve"> производивший экспертизу обозначен как «Регулятор»</t>
    </r>
  </si>
  <si>
    <t>Анализ размещенного предложения «Организации» о размере цен (тарифов), результаты проверки соответствия заявления «Организации» опубликованному предложению отражены в разделе 9 Экспертного заключения.</t>
  </si>
  <si>
    <r>
      <t>«Регулятором»</t>
    </r>
    <r>
      <rPr>
        <sz val="12"/>
        <color rgb="FFFF0000"/>
        <rFont val="PF Din Text Cond Pro Light"/>
        <charset val="204"/>
      </rPr>
      <t xml:space="preserve"> открыто /не открыто</t>
    </r>
    <r>
      <rPr>
        <sz val="12"/>
        <rFont val="PF Din Text Cond Pro Light"/>
        <charset val="204"/>
      </rPr>
      <t xml:space="preserve">   дело об установлении «Организации» на территории региона цен (тарифов) на услуги по передаче электрической энергии (мощности)</t>
    </r>
  </si>
  <si>
    <t>В случае не открытия дела об установлении организации на территории региона цен (тарифов) на услуги по передаче электрической энергии (мощности), дополнительно в экспертном заключении указывается причина данного обстоятельства со ссылкой на законодательство в области государственного регулирования тарифов</t>
  </si>
  <si>
    <t>ФИО Эксперта</t>
  </si>
  <si>
    <t>Должность Эксперта</t>
  </si>
  <si>
    <t>Контактные данные Эксперта</t>
  </si>
  <si>
    <t>Экспертиза представленных расчетных материалов «Организации» осуществлялась в соответствии со следующими нормативно-правовыми актами:</t>
  </si>
  <si>
    <t>1. Федеральным законом от 26.03.2003 № 35-ФЗ «Об электроэнергетике»;</t>
  </si>
  <si>
    <t>2. Постановлением Правительства Российской Федерации от 29.12.2011 № 1178 «О ценообразовании в области регулируемых цен (тарифов) в электроэнергетике» (далее – ППРФ1178);</t>
  </si>
  <si>
    <t>3. Постановлением Правительства Российской Федерации от 27.12.2004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</si>
  <si>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4. Постановлением Правительства Российской Федерации от 31.12.2009 № 1220 «Об определении применяемых при установлении долгосрочных тарифов показателей надежности и качества поставляемых товаров и оказываемых услуг»;</t>
  </si>
  <si>
    <t>5. Постановлением Правительства Российской Федерации от 21.01.2004 № 24 «Об утверждении стандартов раскрытия информации субъектами оптового и розничных рынков электрической энергии» (далее – ППРФ24);</t>
  </si>
  <si>
    <t>6. Приказом ФСТ России от 30.03.2012 № 228-э «Об утверждении Методических указаний по регулированию тарифов с применением метода доходности инвестированного капитала» (далее – Методические указания № 228);</t>
  </si>
  <si>
    <t>В зависимости от метода регулирования</t>
  </si>
  <si>
    <t>7. Приказом ФСТ России от 17.02.2012 № 98-э «Об утверждении Методических указаний по расчету тарифов на услуги по передаче электрической энергии, устанавливаемых с применением метода долгосрочной индексации необходимой валовой выручки» (далее – Методические указания № 98);</t>
  </si>
  <si>
    <t>8. Приказом ФСТ России от 26.10.2010 № 254-э/1 «Об утверждении Методических указаний по расчету и применению понижающих (повышающих) коэффициентов, позволяющих обеспечить соответствие уровня тарифов, установленных для организаций, осуществляющих регулируемую деятельность, уровню надежности и качества поставляемых товаров и оказываемых услуг» (далее – Методические указания № 254);</t>
  </si>
  <si>
    <t>9. Приказом ФСТ России от 06.08.2004 № 20-э/2 «Об утверждении Методических указаний по расчету регулируемых цен (тарифов) на электрическую (тепловую) энергию на розничном (потребительском) рынке» (далее – Методические указания № 20);</t>
  </si>
  <si>
    <r>
      <t xml:space="preserve">10. Приказом ФСТ/ФАС России </t>
    </r>
    <r>
      <rPr>
        <sz val="12"/>
        <color rgb="FFFF0000"/>
        <rFont val="PF Din Text Cond Pro Light"/>
        <charset val="204"/>
      </rPr>
      <t>от __.__.20__ № ___</t>
    </r>
    <r>
      <rPr>
        <sz val="12"/>
        <rFont val="PF Din Text Cond Pro Light"/>
        <charset val="204"/>
      </rPr>
      <t xml:space="preserve"> «О согласовании </t>
    </r>
    <r>
      <rPr>
        <sz val="12"/>
        <color rgb="FFFF0000"/>
        <rFont val="PF Din Text Cond Pro Light"/>
        <charset val="204"/>
      </rPr>
      <t>Федеральной службой по тарифам / Федеральной антимонопольной службой</t>
    </r>
    <r>
      <rPr>
        <sz val="12"/>
        <rFont val="PF Din Text Cond Pro Light"/>
        <charset val="204"/>
      </rPr>
      <t xml:space="preserve"> долгосрочных параметров регулирования деятельности территориальных сетевых организаций с применением метода доходности инвестированного капитала»;</t>
    </r>
  </si>
  <si>
    <t>11. Приказом ФАС России от 19.06.2018 № 834/18 «Об утверждении Регламента установления цен (тарифов) и (или) их предельных уровней, предусматривающего порядок регистрации, принятия к рассмотрению и выдачи отказов в рассмотрении заявлений об установлении цен (тарифов) и (или) их предельных уровней, и формы решения органа исполнительной власти субъекта Российской Федерации в области государственного регулирования тарифов»;</t>
  </si>
  <si>
    <t>13. Приказом ФСТ России от 11.09.2014 № 215-э/1 «Об утверждении Методических указаний по определению выпадающих доходов, связанных с осуществлением технологического присоединения к электрическим сетям» (далее – Методические указания № 215);</t>
  </si>
  <si>
    <t>14. Приказом ФСТ России от 16.09.2014 № 1442-э «Об утверждении Методических указаний по расчету тарифов на электрическую энергию (мощность) для населения и приравненных к нему категорий потребителей, тарифов на услуги по передаче электрической энергии, поставляемой населению и приравненным к нему категориям потребителей»;</t>
  </si>
  <si>
    <t>15. Приказом ФСТ России от 18.03.2015 № 421-э «Об утверждении Методических указаний по определению базового уровня операционных, подконтрольных расходов территориальных сетевых организаций, необходимых для осуществления регулируемой деятельности, и индекса эффективности операционных, подконтрольных расходов с применением метода сравнения аналогов и внесении изменений в приказы ФСТ России от 17.02.2012 № 98-э и от 30.03.2012 № 228-э» (далее – Методические указания № 421);</t>
  </si>
  <si>
    <r>
      <t xml:space="preserve">16. Приказом ФАС России от </t>
    </r>
    <r>
      <rPr>
        <sz val="12"/>
        <color rgb="FFFF0000"/>
        <rFont val="PF Din Text Cond Pro Light"/>
        <charset val="204"/>
      </rPr>
      <t xml:space="preserve">__.__.20__ № ___ </t>
    </r>
    <r>
      <rPr>
        <sz val="12"/>
        <rFont val="PF Din Text Cond Pro Light"/>
        <charset val="204"/>
      </rPr>
      <t>«Об утверждении предельных уровней тарифов на услуги по передаче электрической энергии, поставляемой населению и приравненным к нему категориям потребителей, по субъектам Российской Федерации»;</t>
    </r>
  </si>
  <si>
    <r>
      <t xml:space="preserve">17. Приказом ФАС России от </t>
    </r>
    <r>
      <rPr>
        <sz val="12"/>
        <color rgb="FFFF0000"/>
        <rFont val="PF Din Text Cond Pro Light"/>
        <charset val="204"/>
      </rPr>
      <t>__.__.20__ № ___</t>
    </r>
    <r>
      <rPr>
        <sz val="12"/>
        <rFont val="PF Din Text Cond Pro Light"/>
        <charset val="204"/>
      </rPr>
      <t xml:space="preserve"> «Об утверждении предельных уровней тарифов на услуги по передаче электрической энергии, оказываемые потребителям, не относящимся к населению и приравненным к нему категориям потребителей, по субъектам Российской Федерации»;</t>
    </r>
  </si>
  <si>
    <t>18. Приказом Минэнерго России от 13.12.2011 № 585 «Об утверждении Порядка ведения раздельного учета доходов и расходов субъектами естественных монополий в сфере услуг по передаче электрической энергии и оперативно-диспетчерскому управлению в электроэнергетике»;</t>
  </si>
  <si>
    <t>19. Приказом Минэнерго России от 29.11.2016 № 1256 «Об утверждении Методических указаний по расчету уровня надежности и качества поставляемых товаров и оказываемых услуг для организации по управлению единой национальной (общероссийской) электрической сетью и территориальных сетевых организаций» (далее – Методические указания № 1256);</t>
  </si>
  <si>
    <t>21. Прочими законами и подзаконными актами, в том числе в сфере бухгалтерского и налогового учета, методическими разработками и подходами, действующими в отношении сферы и предмета государственного регулирования тарифов и имеющие значение для определения экономически обоснованного уровня затрат.</t>
  </si>
  <si>
    <t>При необходимости дополнить перечень</t>
  </si>
  <si>
    <t>Руководствуясь пунктом 19 Правилами государственного регулирования (пересмотра, применения) цен (тарифов) в электроэнергетике, утвержденных ППРФ1178 «Регулятором» в адрес «Организации» направлены письма о необходимости представления дополнительных материалов.</t>
  </si>
  <si>
    <t>Дата регистрации исходящего документа «Регулятора»</t>
  </si>
  <si>
    <t>номер исходящего документа «Регулятора»</t>
  </si>
  <si>
    <t>В дополнение к заявлению и в ответ на запросы «Организацией» направлены дополнительные обосновывающие материалы.</t>
  </si>
  <si>
    <t>Дата регистрации исходящего документа «Организации»</t>
  </si>
  <si>
    <t>номер исходящего документа
«Организации»</t>
  </si>
  <si>
    <r>
      <t xml:space="preserve">Экспертами произведен анализ соответствия организации критериям отнесения владельцев объектов электросетевого хозяйства к территориальным сетевым организациям, утвержденным постановлением Правительства Российской Федерации от 28.02.2015 № 184 «Об отнесении владельцев объектов электросетевого хозяйства к территориальным сетевым организациям» (далее – ППРФ184). По его результатам выявлено </t>
    </r>
    <r>
      <rPr>
        <sz val="12"/>
        <color rgb="FFFF0000"/>
        <rFont val="PF Din Text Cond Pro Light"/>
        <charset val="204"/>
      </rPr>
      <t>соответствие / несоответствие</t>
    </r>
    <r>
      <rPr>
        <sz val="12"/>
        <rFont val="PF Din Text Cond Pro Light"/>
        <charset val="204"/>
      </rPr>
      <t xml:space="preserve">   «Организации» критериям отнесения владельцев объектов электросетевого хозяйства к территориальным сетевым организациям. Анализ соответствия «Организации» критериям отнесения владельцев объектов электросетевого хозяйства к территориальным сетевым организациям представлен в разделе 10 Экспертного заключения.</t>
    </r>
  </si>
  <si>
    <t>При признании организации не соответствующей критериям отнесения владельцев объектов электросетевого хозяйства к территориальным сетевым организациям, экспертиза представленных предложений организации не проводится и в экспертном заключении указывается только положения 
раздела 10</t>
  </si>
  <si>
    <t>2. Оценка достоверности данных, приведенных в предложениях об установлении цен (тарифов).</t>
  </si>
  <si>
    <r>
      <t xml:space="preserve">Достоверность бухгалтерской отчетности «Организации» подтверждена аудиторским заключением (аудитор - </t>
    </r>
    <r>
      <rPr>
        <sz val="12"/>
        <color rgb="FFFF0000"/>
        <rFont val="PF Din Text Cond Pro Light"/>
        <charset val="204"/>
      </rPr>
      <t>«___»</t>
    </r>
    <r>
      <rPr>
        <sz val="12"/>
        <rFont val="PF Din Text Cond Pro Light"/>
        <charset val="204"/>
      </rPr>
      <t>).</t>
    </r>
  </si>
  <si>
    <t>Достоверность данных, приведенных в предложении «Организации» об установлении тарифов на услуги по передаче электрической энергии (мощности), подтверждена личной подписью ответственного за достоверность данных должностного лица и печатью организации.</t>
  </si>
  <si>
    <t>«Организация» несет административную ответственность за предоставление заведомо недостоверных сведений.</t>
  </si>
  <si>
    <t>3. Оценка финансового состояния организации, осуществляющей регулируемую деятельность.</t>
  </si>
  <si>
    <t xml:space="preserve">Анализ финансово-хозяйственной деятельности </t>
  </si>
  <si>
    <t>Таблица 1</t>
  </si>
  <si>
    <t>Показатель (тыс. руб.)</t>
  </si>
  <si>
    <t>Выручка (нетто) от продажи товаров, продукции, работ, услуг (за минусом налога на добавленную стоимость, акцизов и аналогичных обязательных платежей) от услуг по передаче электроэнергии</t>
  </si>
  <si>
    <t>Себестоимость продукции (услуг) с учетом управленческих и коммерческих расходов от услуг по передаче электроэнергии</t>
  </si>
  <si>
    <t>Прибыль (убыток) от продаж от услуг по передаче электроэнергии</t>
  </si>
  <si>
    <t xml:space="preserve">Прочие доходы, всего, в том числе </t>
  </si>
  <si>
    <t>проценты к получению</t>
  </si>
  <si>
    <t>восстановление резервов по сомнительным долгам</t>
  </si>
  <si>
    <t>восстановление прочих оценочных резервов</t>
  </si>
  <si>
    <t>Прочие расходы, всего, в том числе</t>
  </si>
  <si>
    <t>5.1.</t>
  </si>
  <si>
    <t>проценты к уплате</t>
  </si>
  <si>
    <t>5.2.</t>
  </si>
  <si>
    <t>создание резервов по сомнительным долгам</t>
  </si>
  <si>
    <t>5.3.</t>
  </si>
  <si>
    <t>создание прочих оценочных резервов</t>
  </si>
  <si>
    <t>Прибыль (убыток) до налогообложения от услуг по передаче электроэнергии</t>
  </si>
  <si>
    <t>Налог на прибыль и иные аналогичные обязательные платежи от услуг по передаче электроэнергии</t>
  </si>
  <si>
    <t>Налог на прибыль и иные аналогичные обязательные платежи от услуг по технологическому присоединению (справочно)</t>
  </si>
  <si>
    <t>Чистая прибыль от услуг по передаче электроэнергии</t>
  </si>
  <si>
    <t>При необходимости, определенной «Регулятором», указать прочие выводы по указанным показателям.</t>
  </si>
  <si>
    <t>Показатели финансового состояния «Организации» представлены ниже (Таблица 2).</t>
  </si>
  <si>
    <t>Показатели финансового состояния</t>
  </si>
  <si>
    <t>Таблица 2</t>
  </si>
  <si>
    <t>нормативное  значение</t>
  </si>
  <si>
    <t>Рекомендуемая методика расчета</t>
  </si>
  <si>
    <t>Долг</t>
  </si>
  <si>
    <t>(Долгосрочные заемные средства + Краткосрочные заемные средства)</t>
  </si>
  <si>
    <t>EBITDA</t>
  </si>
  <si>
    <t>Прибыль до налогообложения + Проценты к уплате +Амортизация</t>
  </si>
  <si>
    <t>Долг/EBITDA</t>
  </si>
  <si>
    <t xml:space="preserve">(Долгосрочные заемные средства + Краткосрочные заемные средства) / (Прибыль до налогообложения + Проценты к уплате +Амортизация) </t>
  </si>
  <si>
    <t>Коэффициент текущей ликвидности (КТЛ)</t>
  </si>
  <si>
    <t>(Оборотные активы-Дебиторская задолженность более 12 мес.) /(Краткосрочные обязательства - Доходы будущих периодов)</t>
  </si>
  <si>
    <t>Коэффициент автономии (финансовой независимости)</t>
  </si>
  <si>
    <t>Собственный капитал/Совокупные пассивы</t>
  </si>
  <si>
    <t>Рентабельность собственного капитала (ROE)</t>
  </si>
  <si>
    <t>(Чистая прибыль /Среднее значение  Собственного капитала)*100%</t>
  </si>
  <si>
    <t>Коэффициент оборачиваемости кредиторской задолженности</t>
  </si>
  <si>
    <t>Себестоимость продаж/Ср. значение кредиторской задолженности</t>
  </si>
  <si>
    <t>Коэффициент оборачиваемости дебиторской задолженности</t>
  </si>
  <si>
    <t>Выручка продаж/Ср. значение дебиторской задолженности</t>
  </si>
  <si>
    <r>
      <t xml:space="preserve">Основные показатели финансового состояния находятся </t>
    </r>
    <r>
      <rPr>
        <sz val="12"/>
        <color rgb="FFFF0000"/>
        <rFont val="PF Din Text Cond Pro Light"/>
        <charset val="204"/>
      </rPr>
      <t>___</t>
    </r>
    <r>
      <rPr>
        <sz val="12"/>
        <rFont val="PF Din Text Cond Pro Light"/>
        <charset val="204"/>
      </rPr>
      <t xml:space="preserve">, что характеризует «Организацию» как организацию </t>
    </r>
    <r>
      <rPr>
        <sz val="12"/>
        <color rgb="FFFF0000"/>
        <rFont val="PF Din Text Cond Pro Light"/>
        <charset val="204"/>
      </rPr>
      <t>___</t>
    </r>
    <r>
      <rPr>
        <sz val="12"/>
        <rFont val="PF Din Text Cond Pro Light"/>
        <charset val="204"/>
      </rPr>
      <t>.</t>
    </r>
  </si>
  <si>
    <t>4. Анализ основных технико-экономических показателей за 2 предшествующих года, текущий год и расчетный период регулирования.</t>
  </si>
  <si>
    <t>Основные технико-экономические показатели</t>
  </si>
  <si>
    <t>Таблица 3</t>
  </si>
  <si>
    <t>Факт по данным «Регулятора»</t>
  </si>
  <si>
    <t>Утверждено</t>
  </si>
  <si>
    <r>
      <t xml:space="preserve">Предложение Организации </t>
    </r>
    <r>
      <rPr>
        <b/>
        <vertAlign val="superscript"/>
        <sz val="8"/>
        <color rgb="FF000000"/>
        <rFont val="PF Din Text Cond Pro Light"/>
        <charset val="204"/>
      </rPr>
      <t>3</t>
    </r>
  </si>
  <si>
    <t>Согласовано Экспертами</t>
  </si>
  <si>
    <t>9=8-7</t>
  </si>
  <si>
    <t>Необходимая валовая выручка по передаче электроэнергии</t>
  </si>
  <si>
    <t>млн. руб.</t>
  </si>
  <si>
    <t>Потери электроэнергии (относительные)</t>
  </si>
  <si>
    <t>Цена покупки потерь</t>
  </si>
  <si>
    <t>Потери электроэнергии (абсолютные)</t>
  </si>
  <si>
    <t>Затраты на покупную электроэнергию, приобретаемую в целях компенсации потерь</t>
  </si>
  <si>
    <t>Средний одноставочный тариф на передачу электроэнергии (п.1/п.2)</t>
  </si>
  <si>
    <t>Здесь и далее указывается последнее предложение организации (в случае направления уточненного предложения согласно п. 12 Правил государственного регулирования тарифов)</t>
  </si>
  <si>
    <t>При анализе основных технико-экономические показателей «Организации» необходимо отметить:</t>
  </si>
  <si>
    <t>При необходимости, определенной «Регулятором», указать выводы по указанным показателям.</t>
  </si>
  <si>
    <t>5. Долгосрочные параметры регулирования.</t>
  </si>
  <si>
    <t>В соответствии с пунктом 12   Основ ценообразования в области регулируемых цен (тарифов) в электроэнергетике, утвержденных ППРФ1178 (далее – Основы ценообразования), долгосрочные параметры регулирования деятельности территориальных сетевых организаций не пересматриваются в течение долгосрочного периода регулирования, за исключением случаев приведения решений об установлении указанных параметров в соответствие с законодательством Российской Федерации на основании вступившего в законную силу решения суда, решения Федеральной антимонопольной службы, принятого по итогам рассмотрения разногласий или досудебного урегулирования споров, решения Федеральной антимонопольной службы об отмене решения регулирующего органа, принятого им с превышением полномочий (предписания), а также в случаях, предусмотренных пунктом 36 Правил государственного регулирования (пересмотра, применения) цен (тарифов) в электроэнергетике в отношении территориальных сетевых организаций, осуществляющих регулируемую деятельность одновременно на территориях городов федерального значения и граничащих с ними субъектов Российской Федерации.</t>
  </si>
  <si>
    <r>
      <t xml:space="preserve">Долгосрочные параметры регулирования для «Организации» согласованы приказом </t>
    </r>
    <r>
      <rPr>
        <sz val="12"/>
        <color rgb="FFFF0000"/>
        <rFont val="PF Din Text Cond Pro Light"/>
        <charset val="204"/>
      </rPr>
      <t>ФСТ России/ФАС России от __.__.20__ № ___</t>
    </r>
    <r>
      <rPr>
        <sz val="12"/>
        <rFont val="PF Din Text Cond Pro Light"/>
        <charset val="204"/>
      </rPr>
      <t xml:space="preserve"> и (или) утверждены постановлением «Регулятора» от </t>
    </r>
    <r>
      <rPr>
        <sz val="12"/>
        <color rgb="FFFF0000"/>
        <rFont val="PF Din Text Cond Pro Light"/>
        <charset val="204"/>
      </rPr>
      <t>__.__.20__ № ___</t>
    </r>
    <r>
      <rPr>
        <sz val="12"/>
        <rFont val="PF Din Text Cond Pro Light"/>
        <charset val="204"/>
      </rPr>
      <t xml:space="preserve"> (Таблица 4).</t>
    </r>
  </si>
  <si>
    <t>Долгосрочные параметры регулирования</t>
  </si>
  <si>
    <t>Таблица 4</t>
  </si>
  <si>
    <t>Базовый уровень операционных (подконтрольных) расходов</t>
  </si>
  <si>
    <t>Индекс эффективности операционных (подконтрольных) расходов</t>
  </si>
  <si>
    <t>Размер инвестированного капитала</t>
  </si>
  <si>
    <t>Для организаций, регулируемых методом RAB</t>
  </si>
  <si>
    <t>Чистый оборотный капитал</t>
  </si>
  <si>
    <t>Норма доходности капитала, созданного до перехода к регулированию методом доходности инвестированного капитала</t>
  </si>
  <si>
    <t>Норма доходности капитала, созданного после перехода к регулированию методом доходности инвестированного капитала</t>
  </si>
  <si>
    <t>Срок возврата инвестированного капитала</t>
  </si>
  <si>
    <t>Уровень потерь электрической энергии при ее передаче по электрическим сетям</t>
  </si>
  <si>
    <t>Уровень надежности реализуемых товаров (услуг)</t>
  </si>
  <si>
    <t>Показатель средней частоты прекращений передачи электрической энергии на точку поставки (Пsaifi)</t>
  </si>
  <si>
    <t>шт.</t>
  </si>
  <si>
    <t>Показатель средней продолжительности прекращений передачи электрической энергии на точку поставки (Пsaidi)</t>
  </si>
  <si>
    <t>час.</t>
  </si>
  <si>
    <t>Показатель уровня качества обслуживания потребителей услуг</t>
  </si>
  <si>
    <t>14.</t>
  </si>
  <si>
    <t>Показатель уровня качества осуществляемого технологического присоединения к сети (Птпр)</t>
  </si>
  <si>
    <t>В отношении организаций для который начинается новый долгосрочный период регулирования в Экспертном заключении необходимо предусмотреть разделы по экспертизе долгосрочных параметров регулирования</t>
  </si>
  <si>
    <t>6. Анализ экономической обоснованности расходов по статьям расходов.</t>
  </si>
  <si>
    <t xml:space="preserve">Анализ экономической обоснованности необходимой валовой выручки (далее – НВВ) «Организации» на услуги по передаче электрической энергии (мощности) проведен в соответствии с законодательством в области государственного регулирования тарифов и прочими законными и подзаконными актами, в том числе в сфере бухгалтерского и налогового учета. </t>
  </si>
  <si>
    <r>
      <t xml:space="preserve">При проведении анализа учтены параметры инвестиционной программы «Организации» </t>
    </r>
    <r>
      <rPr>
        <sz val="12"/>
        <color rgb="FFFF0000"/>
        <rFont val="PF Din Text Cond Pro Light"/>
        <charset val="204"/>
      </rPr>
      <t xml:space="preserve">утвержденной приказом Минэнерго России (нормативно-правовым актом органа исполнительной власти субъекта Российской Федерации) от __.__.20__ № ___на 20__-20__ гг. </t>
    </r>
  </si>
  <si>
    <t>Расчет НВВ 
(без учета затрат на оплату услуг по передаче электрической энергии территориальных сетевых организаций)</t>
  </si>
  <si>
    <t>Таблица 5</t>
  </si>
  <si>
    <t>Предложение Организации</t>
  </si>
  <si>
    <t>8=7-6</t>
  </si>
  <si>
    <t>НВВ (без учета затрат на оплату услуг  ТСО)</t>
  </si>
  <si>
    <t>Расходы на оплату потерь электрической энергии 
(НВВ на оплату потерь)</t>
  </si>
  <si>
    <t> 1.1.1. </t>
  </si>
  <si>
    <t xml:space="preserve">Объем потерь </t>
  </si>
  <si>
    <t> 1.1.2.</t>
  </si>
  <si>
    <t>Тариф покупки потерь</t>
  </si>
  <si>
    <t>Расходы на содержание электрических сетей 
(НВВ на содержание)</t>
  </si>
  <si>
    <t>1.2.1.</t>
  </si>
  <si>
    <t>Неподконтрольные расходы, в том числе:</t>
  </si>
  <si>
    <t>1.2.2.1.</t>
  </si>
  <si>
    <t xml:space="preserve">Оплата услуг ПАО «ФСК ЕЭС» </t>
  </si>
  <si>
    <t>1.2.2.2.</t>
  </si>
  <si>
    <t>1.2.2.3.</t>
  </si>
  <si>
    <t xml:space="preserve">Налоги </t>
  </si>
  <si>
    <t>1.2.2.4.</t>
  </si>
  <si>
    <t>Страховые взносы</t>
  </si>
  <si>
    <t>1.2.2.5.</t>
  </si>
  <si>
    <t>Налог на прибыль (без учета п. 1.2.2.10.1.)</t>
  </si>
  <si>
    <t>1.2.2.6.</t>
  </si>
  <si>
    <t>Расходы по судебным решениям, решениям ФАС России о рассмотрении разногласий и досудебного урегулирования споров</t>
  </si>
  <si>
    <t>1.2.2.7.</t>
  </si>
  <si>
    <t>Выпадающие доходы, связанные с осуществлением льготного технологического присоединения</t>
  </si>
  <si>
    <t>1.2.2.8.</t>
  </si>
  <si>
    <t>Расходы на обслуживание заемных средств</t>
  </si>
  <si>
    <t>1.2.2.9.</t>
  </si>
  <si>
    <t>Амортизация ОС</t>
  </si>
  <si>
    <t>1.2.2.10.</t>
  </si>
  <si>
    <t xml:space="preserve">Расходы на финансирование капитальных вложений из прибыли, в том числе: </t>
  </si>
  <si>
    <t>1.2.2.10.1.</t>
  </si>
  <si>
    <t>налог на прибыль на капитальные вложения</t>
  </si>
  <si>
    <t>1.2.2.11.</t>
  </si>
  <si>
    <t>Расходы, связанные с  возвратом заемных средств</t>
  </si>
  <si>
    <t>1.2.2.12.</t>
  </si>
  <si>
    <t>Прочие неподконтрольные расходы (расшифровать)</t>
  </si>
  <si>
    <t> …</t>
  </si>
  <si>
    <t>Доход на инвестированный капитал</t>
  </si>
  <si>
    <t>Возврат инвестированного капитала</t>
  </si>
  <si>
    <t>Корректировки НВВ</t>
  </si>
  <si>
    <r>
      <t>Сглаживание</t>
    </r>
    <r>
      <rPr>
        <sz val="8"/>
        <color rgb="FF000000"/>
        <rFont val="PF Din Text Cond Pro Light"/>
        <charset val="204"/>
      </rPr>
      <t/>
    </r>
  </si>
  <si>
    <t>Экономия операционных расходов</t>
  </si>
  <si>
    <t>1.9.</t>
  </si>
  <si>
    <t>Расходы по обеспечению коммерческого учета э/э, не относящиеся к капитальным вложениям</t>
  </si>
  <si>
    <t>1.10.</t>
  </si>
  <si>
    <t>Расходы на формирование резерва по сомнительным долгам</t>
  </si>
  <si>
    <t>1.11.</t>
  </si>
  <si>
    <t>Расчетная предпринимательская прибыль сетевой организации</t>
  </si>
  <si>
    <t>Отдельные расходы, предложенные «Организацией», не учтены экспертами в связи с тем, что при проведении экспертизы признаны экономически не обоснованными в соответствии с требованиями законодательства в области государственного регулирования тарифов.</t>
  </si>
  <si>
    <t>6.1. Расходы на оплату технологического расхода (потерь) электрической энергии при ее передаче по электрическим сетям.</t>
  </si>
  <si>
    <t>Таблица 6</t>
  </si>
  <si>
    <t xml:space="preserve">Факт по данным «Организации» </t>
  </si>
  <si>
    <t>Обоснование «Регулятора» о внесенных в предложения «Организации» изменениях</t>
  </si>
  <si>
    <t>Затраты на покупку электрической энергии для целей компенсации потерь в сетях</t>
  </si>
  <si>
    <t>Потери</t>
  </si>
  <si>
    <t>3.3.</t>
  </si>
  <si>
    <t>9.1.</t>
  </si>
  <si>
    <t>9.2.</t>
  </si>
  <si>
    <t>15.</t>
  </si>
  <si>
    <t>Отпуск электрической энергии в сеть</t>
  </si>
  <si>
    <t>Таблица 7</t>
  </si>
  <si>
    <r>
      <t xml:space="preserve">В соответствии с пунктом 33 Основ ценообразования уровень потерь электрической энергии при ее передаче по электрическим сетям территориальной сетевой организации устанавливается на каждый последующий год долгосрочного периода регулирования равным уровню потерь, установленному на первый год долгосрочного периода регулирования </t>
    </r>
    <r>
      <rPr>
        <i/>
        <sz val="12"/>
        <color rgb="FFFF0000"/>
        <rFont val="PF Din Text Cond Pro Light"/>
        <charset val="204"/>
      </rPr>
      <t>(для организаций, регулируемых методом доходности инвестированного капитала).</t>
    </r>
  </si>
  <si>
    <r>
      <t xml:space="preserve">В соответствии с пунктом 38 Основ ценообразования уровень потерь электрической энергии территориальной сетевой организации устанавливается на каждый последующий год долгосрочного периода регулирования равным уровню потерь, установленному на первый год долгосрочного периода регулирования </t>
    </r>
    <r>
      <rPr>
        <i/>
        <sz val="12"/>
        <color rgb="FFFF0000"/>
        <rFont val="PF Din Text Cond Pro Light"/>
        <charset val="204"/>
      </rPr>
      <t>(для организаций, регулируемых методом долгосрочной индексации необходимой валовой выручки).</t>
    </r>
  </si>
  <si>
    <r>
      <t xml:space="preserve">Распределение величины потерь по зонам деятельности гарантирующих поставщиков (энергосбытовых, энергоснабжающих организаций) спрогнозировано «Регулятором» в соответствии с </t>
    </r>
    <r>
      <rPr>
        <sz val="12"/>
        <color rgb="FFFF0000"/>
        <rFont val="PF Din Text Cond Pro Light"/>
        <charset val="204"/>
      </rPr>
      <t>___</t>
    </r>
    <r>
      <rPr>
        <sz val="12"/>
        <rFont val="PF Din Text Cond Pro Light"/>
        <charset val="204"/>
      </rPr>
      <t>.</t>
    </r>
  </si>
  <si>
    <t>В соответствии с пунктом 81 Основ ценообразования стоимость потерь электрической энергии при ее передаче по электрическим сетям, включаемых в тарифы на услуги по передаче электрической энергии по электрическим сетям, принадлежащим на праве собственности или ином законном основании территориальным сетевым организациям, определяется:
- для субъектов Российской Федерации, расположенных на территориях ценовых зон оптового рынка, - на основании прогнозных рыночных цен на электрическую энергию (мощность), продаваемую на оптовом рынке, определяемых по субъектам Российской Федерации с учетом официально опубликованных советом рынка данных о прогнозных свободных (нерегулируемых) ценах на электрическую энергию, цен на электрическую энергию (мощность), установленных для квалифицированных генерирующих объектов, функционирующих на основе использования возобновляемых источников энергии, и информации об основных макроэкономических показателях прогноза социально-экономического развития Российской Федерации, одобренного Правительством Российской Федерации на расчетный период регулирования;
- с учетом сбытовой надбавки и величины платы за услуги, оказание которых неразрывно связано с процессом снабжения потребителей электрической энергией и цены (тарифы) на которые подлежат государственному регулированию.</t>
  </si>
  <si>
    <t>Необходимо указать позицию регулирующего органа при прогнозировании нерегулируемой цены покупки потерь</t>
  </si>
  <si>
    <t>6.2. Расходы на содержание электрических сетей.</t>
  </si>
  <si>
    <t>6.2.1. Операционные (подконтрольные) расходы.</t>
  </si>
  <si>
    <t>3. Коэффициент эластичности операционных (подконтрольных) расходов по количеству активов, необходимых для осуществления регулируемой деятельности, равный 0,75;</t>
  </si>
  <si>
    <t>Расчет операционных (подконтрольных) расходов</t>
  </si>
  <si>
    <t>Плановый индекс потребительских цен (ИПЦ)</t>
  </si>
  <si>
    <t>Плановое количество активов (объем условных единиц)</t>
  </si>
  <si>
    <t>Коэффициент эластичности операционных (подконтрольных) расходов по росту активов</t>
  </si>
  <si>
    <t>Индекс изменения количества активов (ИКА)</t>
  </si>
  <si>
    <t>х</t>
  </si>
  <si>
    <t>Итого коэффициент индексации (Кинд)</t>
  </si>
  <si>
    <t>ИТОГО операционные (подконтрольные) расходы</t>
  </si>
  <si>
    <t>Фактический индекс потребительских цен (в соответствии с прогнозом СЭП)</t>
  </si>
  <si>
    <t>Фактическое количество активов (объем условных единиц)</t>
  </si>
  <si>
    <t>Индекс изменения количества активов (ИКА), (исходя из фактических коэффициентов)</t>
  </si>
  <si>
    <t>Коэффициент индексации (ФАКТ), (исходя из фактических коэффициентов)</t>
  </si>
  <si>
    <t>ИТОГО операционные (подконтрольные) расходы (с учетом фактической инфляции и фактического количества условных единиц)</t>
  </si>
  <si>
    <t>Необходимо указать основания по которым в предложения организации внесены изменения</t>
  </si>
  <si>
    <t>6.2.2. Неподконтрольные расходы</t>
  </si>
  <si>
    <t>6.2.2.1. Расходы на оплату услуг ПАО «ФСК ЕЭС» (услуги по передаче электрической энергии).</t>
  </si>
  <si>
    <t>Фактические расходы на оплату услуг ПАО «ФСК ЕЭС» 
(услуги по передаче электрической энергии)</t>
  </si>
  <si>
    <t>Таблица 9</t>
  </si>
  <si>
    <t>Мощность</t>
  </si>
  <si>
    <t>Тариф на содержание (мощность) объектов ЕНЭС</t>
  </si>
  <si>
    <t>руб./МВт в месяц</t>
  </si>
  <si>
    <t>Затраты на содержание объектов ЕНЭС</t>
  </si>
  <si>
    <t>Сальдо-переток э/э из сети ЕНЭС (330 кВ и выше)</t>
  </si>
  <si>
    <t>Сальдо-переток э/э из сети ЕНЭС (220 кВ и ниже)</t>
  </si>
  <si>
    <t>средний норматив потерь в сетях ЕНЭС (330 кВ и выше)</t>
  </si>
  <si>
    <t>средний норматив потерь в сетях ЕНЭС (220 кВ и ниже)</t>
  </si>
  <si>
    <t>Объем нормативных потерь в сетях ЕНЭС</t>
  </si>
  <si>
    <t>Ставка на компенсацию нормативных потерь</t>
  </si>
  <si>
    <t>Компенсация нормативных потерь</t>
  </si>
  <si>
    <t>Стоимость услуг ПАО «ФСК ЕЭС» (п.3 + п.10)</t>
  </si>
  <si>
    <t>Расчет расходов на оплату услуг ПАО «ФСК ЕЭС» 
(услуги по передаче электрической энергии)</t>
  </si>
  <si>
    <t>Таблица 10</t>
  </si>
  <si>
    <t>Необходимо указать основания по которым приняты фактические расходы на оплату услуг ПАО «ФСК ЕЭС»</t>
  </si>
  <si>
    <r>
      <t xml:space="preserve">   - ставок тарифов на услуги по передаче электрической энергии на содержание объектов электросетевого хозяйства, входящих в единую национальную (общероссийскую) электрическую сеть, утвержденных приказом ФАС России </t>
    </r>
    <r>
      <rPr>
        <sz val="12"/>
        <color rgb="FFFF0000"/>
        <rFont val="PF Din Text Cond Pro Light"/>
        <charset val="204"/>
      </rPr>
      <t>от __.__.20__ № ___</t>
    </r>
    <r>
      <rPr>
        <sz val="12"/>
        <rFont val="PF Din Text Cond Pro Light"/>
        <charset val="204"/>
      </rPr>
      <t>;</t>
    </r>
  </si>
  <si>
    <r>
      <t xml:space="preserve">   - норматива потерь электрической энергии при ее передаче по единой национальной (общероссийской) электрической сети, осуществляемой ПАО «ФСК ЕЭС», утвержденного приказом Минэнерго России </t>
    </r>
    <r>
      <rPr>
        <sz val="12"/>
        <color rgb="FFFF0000"/>
        <rFont val="PF Din Text Cond Pro Light"/>
        <charset val="204"/>
      </rPr>
      <t>от __.__.20__ № ___</t>
    </r>
    <r>
      <rPr>
        <sz val="12"/>
        <rFont val="PF Din Text Cond Pro Light"/>
        <charset val="204"/>
      </rPr>
      <t>;</t>
    </r>
  </si>
  <si>
    <r>
      <t xml:space="preserve">   - прогнозной ставки тарифа на оплату технологических потерь электрической энергии, определенной в соответствии с </t>
    </r>
    <r>
      <rPr>
        <sz val="12"/>
        <color rgb="FFFF0000"/>
        <rFont val="PF Din Text Cond Pro Light"/>
        <charset val="204"/>
      </rPr>
      <t>___</t>
    </r>
    <r>
      <rPr>
        <sz val="12"/>
        <rFont val="PF Din Text Cond Pro Light"/>
        <charset val="204"/>
      </rPr>
      <t>.</t>
    </r>
  </si>
  <si>
    <t>6.2.2.2. Плата за аренду имущества и лизинг.</t>
  </si>
  <si>
    <t>В соответствии с пунктом 28 Основ ценообразования расходы на аренду помещений, аренду транспорта и аренду земельных участков определяются регулирующим органом в соответствии с пунктом 29 настоящего документа, а расходы на аренду объектов электроэнергетики, иных объектов производственного назначения, в том числе машин и механизмов, которые участвуют в процессе снабжения электрической энергией потребителей, - исходя из величины амортизации, налога на имущество и других установленных законодательством Российской Федерации обязательных платежей, связанных с владением имуществом, переданным в аренду.</t>
  </si>
  <si>
    <t>Таблица 11</t>
  </si>
  <si>
    <t>…</t>
  </si>
  <si>
    <t>Итого расходы на аренду имущества и лизинг</t>
  </si>
  <si>
    <t>Расходы по арендной плате и лизингу</t>
  </si>
  <si>
    <t>Таблица 12</t>
  </si>
  <si>
    <t xml:space="preserve"> Показатель (тыс. руб.) </t>
  </si>
  <si>
    <t>5=4-3</t>
  </si>
  <si>
    <t xml:space="preserve">Расходы на аренду зданий, помещений и сооружений, кроме объектов электросетевого хозяйства </t>
  </si>
  <si>
    <t xml:space="preserve">Расходы на аренду объектов электросетевого хозяйства </t>
  </si>
  <si>
    <t xml:space="preserve">Расходы на аренду земли </t>
  </si>
  <si>
    <t xml:space="preserve">Расходы на аренду транспортных  средств </t>
  </si>
  <si>
    <t xml:space="preserve">Расходы на аренду прочего имущества </t>
  </si>
  <si>
    <t xml:space="preserve">Лизинг </t>
  </si>
  <si>
    <t>Необходимо указать позицию регулятора в отношении методики определения арендных платежей</t>
  </si>
  <si>
    <t>6.2.2.3. Налоги.</t>
  </si>
  <si>
    <t>Расходы по налогам</t>
  </si>
  <si>
    <t>Таблица 13</t>
  </si>
  <si>
    <t xml:space="preserve">Плата за землю </t>
  </si>
  <si>
    <t xml:space="preserve">Налог на имущество </t>
  </si>
  <si>
    <t xml:space="preserve">Прочие налоги и сборы, в том  числе: </t>
  </si>
  <si>
    <t xml:space="preserve">транспортный налог </t>
  </si>
  <si>
    <t xml:space="preserve">водный налог </t>
  </si>
  <si>
    <t xml:space="preserve">плата за выбросы </t>
  </si>
  <si>
    <t>Итого налоги</t>
  </si>
  <si>
    <t>Необходимо указать позицию регулятора в отношении методики определения налоговых платежей</t>
  </si>
  <si>
    <t>6.2.2.4. Страховые взносы.</t>
  </si>
  <si>
    <t>Таблица 14</t>
  </si>
  <si>
    <t xml:space="preserve">Показатель </t>
  </si>
  <si>
    <r>
      <t> </t>
    </r>
    <r>
      <rPr>
        <i/>
        <sz val="8"/>
        <rFont val="PF Din Text Cond Pro Light"/>
        <charset val="204"/>
      </rPr>
      <t>Справочно:</t>
    </r>
    <r>
      <rPr>
        <sz val="8"/>
        <color rgb="FF000000"/>
        <rFont val="PF Din Text Cond Pro Light"/>
        <charset val="204"/>
      </rPr>
      <t> </t>
    </r>
  </si>
  <si>
    <t>Фонд оплаты труда (ФОТ)</t>
  </si>
  <si>
    <t>Страховые взносы  к ФОТ</t>
  </si>
  <si>
    <t>Необходимо указать позицию регулятора в отношении методики определения страховых взносов</t>
  </si>
  <si>
    <t>6.2.2.5. Налог на прибыль.</t>
  </si>
  <si>
    <t>Таблица 15</t>
  </si>
  <si>
    <t>Налог на прибыль, в том  числе:</t>
  </si>
  <si>
    <t>передача по распределительным сетям</t>
  </si>
  <si>
    <t>технологическое присоединение</t>
  </si>
  <si>
    <t>В соответствии с пунктом 20 Основ ценообразования в НВВ включается величина налога на прибыль организаций по регулируемому виду деятельности, сформированная по данным бухгалтерского учета за последний истекший период.</t>
  </si>
  <si>
    <t>При установлении тарифов на услуги по передаче электрической энергии учитывается величина налога на прибыль организаций, которая относится по данным раздельного учета к деятельности по оказанию услуг по передаче электрической энергии и осуществлению технологического присоединения к электрическим сетям.</t>
  </si>
  <si>
    <r>
      <t xml:space="preserve">В соответствии с пунктом </t>
    </r>
    <r>
      <rPr>
        <sz val="12"/>
        <color rgb="FFFF0000"/>
        <rFont val="PF Din Text Cond Pro Light"/>
        <charset val="204"/>
      </rPr>
      <t>___</t>
    </r>
    <r>
      <rPr>
        <sz val="12"/>
        <rFont val="PF Din Text Cond Pro Light"/>
        <charset val="204"/>
      </rPr>
      <t xml:space="preserve"> учетной политикой «Организации», утвержденной приказом «Организации» </t>
    </r>
    <r>
      <rPr>
        <sz val="12"/>
        <color rgb="FFFF0000"/>
        <rFont val="PF Din Text Cond Pro Light"/>
        <charset val="204"/>
      </rPr>
      <t>от__.__.20__ № ___</t>
    </r>
    <r>
      <rPr>
        <sz val="12"/>
        <rFont val="PF Din Text Cond Pro Light"/>
        <charset val="204"/>
      </rPr>
      <t xml:space="preserve">, налог на прибыль распределяется по филиалам в соответствии с </t>
    </r>
    <r>
      <rPr>
        <sz val="12"/>
        <color rgb="FFFF0000"/>
        <rFont val="PF Din Text Cond Pro Light"/>
        <charset val="204"/>
      </rPr>
      <t>___</t>
    </r>
    <r>
      <rPr>
        <sz val="12"/>
        <rFont val="PF Din Text Cond Pro Light"/>
        <charset val="204"/>
      </rPr>
      <t xml:space="preserve">. </t>
    </r>
  </si>
  <si>
    <t>Абзац для организаций, являющихся филиалами</t>
  </si>
  <si>
    <t>6.2.2.6. Расходы по судебным решениям, решениям ФАС России о рассмотрении разногласий и досудебного урегулирования споров.</t>
  </si>
  <si>
    <t>Расходы по судебным решениям, решениям ФАС России 
о рассмотрении разногласий и досудебного урегулирования споров</t>
  </si>
  <si>
    <t>Таблица 16</t>
  </si>
  <si>
    <t>Расходы по судебным решениям, решениям ФАС России о рассмотрении разногласий и досудебного урегулирования споров, в том  числе:</t>
  </si>
  <si>
    <t>6.2.2.7. Выпадающие доходы, связанные с осуществлением льготного технологического присоединения.</t>
  </si>
  <si>
    <t>Выпадающие доходы, связанные с осуществлением льготного технологического присоединения.</t>
  </si>
  <si>
    <t>Таблица 17</t>
  </si>
  <si>
    <t>Выпадающие доходы, связанные с осуществлением льготного технологического присоединения, в том числе:</t>
  </si>
  <si>
    <r>
      <t xml:space="preserve">Выпадающие доходы, связанные с осуществлением ТП максимальной мощностью, не превышающей </t>
    </r>
    <r>
      <rPr>
        <b/>
        <u/>
        <sz val="8"/>
        <color theme="1"/>
        <rFont val="PF Din Text Cond Pro Light"/>
        <charset val="204"/>
      </rPr>
      <t>15 кВт</t>
    </r>
    <r>
      <rPr>
        <sz val="8"/>
        <color theme="1"/>
        <rFont val="PF Din Text Cond Pro Light"/>
        <charset val="204"/>
      </rPr>
      <t>, не включаемые в состав платы за ТП, всего, в том числе:</t>
    </r>
  </si>
  <si>
    <t>Себестоимость
(организационно-технические мероприятия)</t>
  </si>
  <si>
    <t>Капитальные затраты                                                                                                                                                                                                                                                                                                                                                                                                                                                                                                                                                                                                                                                                                     (выполнения мероприятий «последней мили»)</t>
  </si>
  <si>
    <t>Обеспечение средствами коммерческого учета электрической энергии (мощности)</t>
  </si>
  <si>
    <r>
      <t xml:space="preserve">Выпадающие доходы, связанные с осуществлением ТП максимальной мощностью до </t>
    </r>
    <r>
      <rPr>
        <b/>
        <u/>
        <sz val="8"/>
        <color theme="1"/>
        <rFont val="PF Din Text Cond Pro Light"/>
        <charset val="204"/>
      </rPr>
      <t>150 кВт</t>
    </r>
    <r>
      <rPr>
        <sz val="8"/>
        <color theme="1"/>
        <rFont val="PF Din Text Cond Pro Light"/>
        <charset val="204"/>
      </rPr>
      <t>, не включаемые в состав платы за ТП</t>
    </r>
  </si>
  <si>
    <t>В соответствии с пунктом 87 Основ ценообразования расходы сетевой организации на выполнение организационно-технических мероприятий и затраты на строительство объектов электросетевого хозяйства, связанные с технологическим присоединением энергопринимающих устройств потребителей максимальной мощностью устройств не более чем 15 кВт, плата за которое устанавливается в размере не более 550 рублей и затраты на строительство объектов электросетевого хозяйства, связанные с технологическим присоединением энергопринимающих устройств потребителей максимальной мощностью устройств не более чем 150 кВт, включаются в тариф на услуги по передаче электрической энергии.</t>
  </si>
  <si>
    <t>«Регулятором» произведен расчет размера указанных выпадающих доходов в соответствии с Методическими указаниями № 215, в соответствии с которыми расчет выпадающих доходов осуществляется на основании фактических средних данных по выполненным договорам об осуществлении технологического присоединения к электрическим сетям за три предыдущих года.</t>
  </si>
  <si>
    <t>Необходимо указать позицию регулятора в отношении методики определения выпадающих по ТП</t>
  </si>
  <si>
    <t>6.2.2.8. Расходы на обслуживание заемных средств.</t>
  </si>
  <si>
    <t>Таблица 18</t>
  </si>
  <si>
    <t>Сумма заемных средств на конец предыдущего года</t>
  </si>
  <si>
    <t>Ставка за пользование кредитом (средняя)</t>
  </si>
  <si>
    <t>В соответствии с пунктом 7 Основ ценообразования к экономически обоснованным расходам в том числе относятся расходы, связанные с обслуживанием заемных средств, привлекаемых для покрытия недостатка средств.</t>
  </si>
  <si>
    <t>Согласно пункту 11 Методических указаний № 98 неподконтрольные расходы включают в себя расходы на возврат и обслуживание долгосрочных заемных средств, в том числе направляемых на финансирование капитальных вложений.</t>
  </si>
  <si>
    <t>Необходимо указать позицию регулятора в отношении методики определения расходов на обслуживание заемных средств</t>
  </si>
  <si>
    <t xml:space="preserve">6.2.2.9. Амортизация основных средств. </t>
  </si>
  <si>
    <t>Амортизация основных средств</t>
  </si>
  <si>
    <t>Таблица 19</t>
  </si>
  <si>
    <t>В соответствии с пунктом 27 Основ ценообразования расходы на амортизацию основных средств и нематериальных активов для расчета тарифов на услуги по передаче электрической энергии по электрическим сетям, принадлежащим на праве собственности или на ином законном основании территориальным сетевым организациям,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 применяемых в сфере оказания услуг по передаче электрической энергии (объектов электросетевого хозяйства и объектов производственного назначения, в том числе машин и механизмов).</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</si>
  <si>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определяется регулирующими органами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01.01.2002 № 1 «О Классификации основных средств, включаемых в амортизационные группы».</t>
  </si>
  <si>
    <t>Таблица 20</t>
  </si>
  <si>
    <t>3.4.</t>
  </si>
  <si>
    <t>3.5.</t>
  </si>
  <si>
    <t>4.4.</t>
  </si>
  <si>
    <t>4.5.</t>
  </si>
  <si>
    <t>Необходимо указать позицию регулятора в отношении методики определения амортизационных отчислений</t>
  </si>
  <si>
    <t xml:space="preserve">6.2.2.10. Расходы на финансирование капитальных вложений из прибыли. </t>
  </si>
  <si>
    <t>Расходы на финансирование капитальных вложений из прибыли</t>
  </si>
  <si>
    <t>Таблица 21</t>
  </si>
  <si>
    <t>Расходы на финансирование капитальных вложений из прибыли, в том числе:</t>
  </si>
  <si>
    <t>финансирование капитальных вложений из прибыли</t>
  </si>
  <si>
    <t>налог на прибыль на капитальные  вложения</t>
  </si>
  <si>
    <t>Необходимо указать позицию регулятора в отношении методики определения расходов на финансирования капитальных вложений</t>
  </si>
  <si>
    <t>Дополнительно необходимо отметить, что согласованные экспертами расходы на финансирование капитальных вложений из прибыли не превышают 12 процентов от НВВ, определенной в соответствии с пунктом 11 Методических указаний № 98.</t>
  </si>
  <si>
    <t>6.2.2.11. Расходы, связанные с возвратом заемных средств</t>
  </si>
  <si>
    <t>Расходы, связанные с возвратом заемных средств</t>
  </si>
  <si>
    <t>Таблица 22</t>
  </si>
  <si>
    <t>В соответствии с пунктом 32 Основ ценообразования регулирующие органы обязаны учитывать расходы, связанные с возвратом и обслуживанием долгосрочных заемных средств, направляемых на финансирование капитальных вложений, начиная с даты поступления средств на реализацию проекта, обеспечить учет таких расходов при расчете регулируемых цен (тарифов) на последующие расчетные периоды регулирования в течение всего согласованного срока окупаемости проекта.</t>
  </si>
  <si>
    <t>Необходимо указать позицию регулятора в отношении методики определения расходов возврат заеиных средств</t>
  </si>
  <si>
    <t xml:space="preserve">6.2.2.12. Прочие неподконтрольные расходы. </t>
  </si>
  <si>
    <t>Таблица 23</t>
  </si>
  <si>
    <t>Прочие неподконтрольные расходы всего (расшифровать)</t>
  </si>
  <si>
    <t>Необходимо указать позицию регулятора в отношении методики определения прочих неподконтрольных расходов</t>
  </si>
  <si>
    <t>6.2.3. Возврат и доход на инвестированный капитал.</t>
  </si>
  <si>
    <t>Ведомость движения инвестированного капитала, созданного до перехода к регулированию методом доходности инвестированного капитала по «Организации»</t>
  </si>
  <si>
    <t>Таблица 24</t>
  </si>
  <si>
    <t>Год</t>
  </si>
  <si>
    <t>Стоимость на начало периода</t>
  </si>
  <si>
    <t>Выбытие активов</t>
  </si>
  <si>
    <t>Уменьшение остаточной стоимости</t>
  </si>
  <si>
    <t>Стоимость на конец периода</t>
  </si>
  <si>
    <t>Полная восстановительная стоимость</t>
  </si>
  <si>
    <t>Остаточная восстановительная стоимость</t>
  </si>
  <si>
    <t>Остаточная стоимость на конец периода</t>
  </si>
  <si>
    <t>Ведомость движения инвестированного капитала, созданного после перехода к регулированию методом доходности инвестированного капитала по «Организации»</t>
  </si>
  <si>
    <t>Таблица 25</t>
  </si>
  <si>
    <t>Прирост нового капитала</t>
  </si>
  <si>
    <t>Полная восстановите-льная стоимость</t>
  </si>
  <si>
    <t>Остаточная восстанови-тельная стоимость</t>
  </si>
  <si>
    <t>Полная восстановитель-ная стоимость</t>
  </si>
  <si>
    <t>Остаточная восстановитель-ная стоимость</t>
  </si>
  <si>
    <t>В соответствии с Методическими указаниями № 228 «Регулятором» произведен расчет скорректированного возврата инвестированного капитала и скорректированного дохода на инвестированный капитал.</t>
  </si>
  <si>
    <t>Расчет скорректированного возврата инвестированного капитала и скорректированного дохода на инвестированный капитал</t>
  </si>
  <si>
    <t>Таблица 26</t>
  </si>
  <si>
    <t>6=5-4</t>
  </si>
  <si>
    <t>Полная восстановительная стоимость капитала, инвестированного до перехода в RAB</t>
  </si>
  <si>
    <t>Остаточная восстановительная стоимость капитала, инвестированного до перехода в RAB (РИК)</t>
  </si>
  <si>
    <t>Физический износ инвестированного капитала (ИИК)</t>
  </si>
  <si>
    <t>Срок возврата инвестированного капитала (СВК)</t>
  </si>
  <si>
    <t>лет </t>
  </si>
  <si>
    <t>Величина чистого оборотного капитала (ЧОК)</t>
  </si>
  <si>
    <t>Норма доходности капитала, созданного до перехода на RAB</t>
  </si>
  <si>
    <t>Норма доходности капитала, созданного после перехода на RAB</t>
  </si>
  <si>
    <t>Стоимость фактически введенных объектов, включенных в базу инвестированного капитала, в том числе:</t>
  </si>
  <si>
    <t>по объектам по передаче электрической энергии</t>
  </si>
  <si>
    <t>по объектам технологического присоединения</t>
  </si>
  <si>
    <t>Остаточная стоимость объектов, выбывших из капитала, инвестированного до перехода на RAB, до окончания срока использования</t>
  </si>
  <si>
    <t>Остаточная стоимость капитала, инвестированного до перехода на регулирование по методу доходности инвестированного капитала (ОРИК)</t>
  </si>
  <si>
    <t>Первоначальная стоимость базы инвестированного капитала на начало года (ПИКнг)</t>
  </si>
  <si>
    <t>Первоначальная стоимость базы инвестированного капитала на конец года (ПИКкг)</t>
  </si>
  <si>
    <t>Остаточная стоимость базы инвестированного капитала на начало года (ОИКнг)</t>
  </si>
  <si>
    <t>Остаточная стоимость базы инвестированного капитала на конец года (ОИКкг)</t>
  </si>
  <si>
    <t>16.</t>
  </si>
  <si>
    <t>Полная стоимость объектов, выбывших из капитала, инвестированного после перехода на RAB, до окончания срока использования</t>
  </si>
  <si>
    <t>17.</t>
  </si>
  <si>
    <t>Остаточная стоимость объектов, выбывших из капитала, инвестированного после перехода на RAB, до окончания срока использования</t>
  </si>
  <si>
    <t>18.</t>
  </si>
  <si>
    <t>Величина скорректированного возврата капитала, инвестированного до перехода на RAB</t>
  </si>
  <si>
    <t>19.</t>
  </si>
  <si>
    <t>Величина скорректированного возврата капитала, инвестированного после перехода на RAB</t>
  </si>
  <si>
    <t>20.</t>
  </si>
  <si>
    <t>ИТОГО величина скорректированного возврата капитала</t>
  </si>
  <si>
    <t>21.</t>
  </si>
  <si>
    <t>Величина скорректированного дохода на капитал, инвестированный до перехода на RAB</t>
  </si>
  <si>
    <t>22.</t>
  </si>
  <si>
    <t>Величина скорректированного дохода на капитал, инвестированный после перехода  на RAB</t>
  </si>
  <si>
    <t>23.</t>
  </si>
  <si>
    <t>ИТОГО величина скорректированного дохода на капитал</t>
  </si>
  <si>
    <t>6.2.4. Изменение НВВ, производимое в целях сглаживания роста тарифов.</t>
  </si>
  <si>
    <t>Величина изменения НВВ, производимого в целях сглаживания роста тарифов, в последний год долгосрочного периода регулирования, определена с учетом результатов исполнения инвестиционных программ.</t>
  </si>
  <si>
    <t>Для последнего года ДПР</t>
  </si>
  <si>
    <t>Таблица 27</t>
  </si>
  <si>
    <t>Норма доходности капитала, созданного после перехода к регулированию методом доходности инвестированного капитала/ИПЦ</t>
  </si>
  <si>
    <t>Изменение НВВ в целях сглаживания тарифов</t>
  </si>
  <si>
    <t>Изменение НВВ в целях сглаживания тарифов с нормой доходности</t>
  </si>
  <si>
    <t>Доходность капитала</t>
  </si>
  <si>
    <t>Накопленное сглаживание без нормы доходности (ИПЦ)</t>
  </si>
  <si>
    <t>Накопленное сглаживание с нормой доходности (ИПЦ)</t>
  </si>
  <si>
    <t>Суммарный плановый размер финансирования инвестиционных программ (∑ИПР план)</t>
  </si>
  <si>
    <t>Суммарный фактический (прогнозный) размер финансирования утвержденных инвестиционных программ (∑ИПР факт)</t>
  </si>
  <si>
    <t>∑ИПР факт/∑ИПР план</t>
  </si>
  <si>
    <t>Корректировка НВВ, осуществляемая в связи с изменением (неисполнением) инвестиционной программы</t>
  </si>
  <si>
    <t>Величина накопленного сглаживания скорректированная с учетом исполнения инвестиционной программы                                                   (на начало года, к возврату с учетом ИПР)</t>
  </si>
  <si>
    <t>Реквизиты ИПР (план)</t>
  </si>
  <si>
    <t>6.2.5.1. Корректировка по показателям уровня надежности и качества оказываемых услуг.</t>
  </si>
  <si>
    <t>Таблица 28</t>
  </si>
  <si>
    <t>Коэф-фициент  допустимого отклонения, %</t>
  </si>
  <si>
    <t>Коэффициент значимости</t>
  </si>
  <si>
    <t>Для долгосрочных периодов регулирования, начавшихся до 2014 года</t>
  </si>
  <si>
    <t>Показатель средней продолжительности прекращений передачи электрической энергии (Пп)</t>
  </si>
  <si>
    <t>Показатель качества предоставления возможности технологического присоединения (Птпр)</t>
  </si>
  <si>
    <t>Показатель уровня качества оказываемых услуг территориальных сетевыми организациями (Птсо)</t>
  </si>
  <si>
    <t>Для долгосрочных периодов регулирования, начавшихся с 2014 года до 2018 года</t>
  </si>
  <si>
    <t>Показатель уровня качества осуществляемого технологического присоединения (Птпр)</t>
  </si>
  <si>
    <t>Показатель уровня качества обслуживания потребителей услуг территориальными сетевых организаций (Птсо)</t>
  </si>
  <si>
    <t>Для территориальной сетевой организации, долгосрочный период регулирования которой начинается с 2018 года</t>
  </si>
  <si>
    <t>Показатель средней продолжительности прекращений передачи электрической энергии на точку поставки (Пsaidi), час.</t>
  </si>
  <si>
    <t>Показатель средней частоты прекращений передачи электрической энергии на точку поставки (Пsaifi), шт.</t>
  </si>
  <si>
    <t>Показатель качества исполнения Единых стандартов качества обслуживания сетевыми организациями потребителей услуг сетевых организаций, утвержденных приказом Минэнерго России от 15.04.2014 № 186</t>
  </si>
  <si>
    <t>В соответствии с пунктом 8 Основ ценообразования регулирующие органы ежегодно корректируют НВВ организации, осуществляющей регулируемую деятельность, в соответствии с методическими указаниями по применению понижающих (повышающих) коэффициентов, позволяющих обеспечить соответствие уровня тарифов организации, осуществляющей регулируемую деятельность, уровню надежности и качества поставляемых товаров (услуг), утверждаемыми Федеральной антимонопольной службой.</t>
  </si>
  <si>
    <t>Расчет понижающего (повышающего) коэффициента, корректирующего НВВ, произведен «Регулятором» в соответствии с Методическими указаниями № 254.</t>
  </si>
  <si>
    <r>
      <t xml:space="preserve">Понижающий (повышающий) коэффициент, корректирующий НВВ, определен в размере </t>
    </r>
    <r>
      <rPr>
        <sz val="12"/>
        <color rgb="FFFF0000"/>
        <rFont val="PF Din Text Cond Pro Light"/>
        <charset val="204"/>
      </rPr>
      <t xml:space="preserve">___ </t>
    </r>
    <r>
      <rPr>
        <sz val="12"/>
        <rFont val="PF Din Text Cond Pro Light"/>
        <charset val="204"/>
      </rPr>
      <t xml:space="preserve">%. Таким образом, исходя из НВВ в размере </t>
    </r>
    <r>
      <rPr>
        <sz val="12"/>
        <color rgb="FFFF0000"/>
        <rFont val="PF Din Text Cond Pro Light"/>
        <charset val="204"/>
      </rPr>
      <t>___</t>
    </r>
    <r>
      <rPr>
        <sz val="12"/>
        <rFont val="PF Din Text Cond Pro Light"/>
        <charset val="204"/>
      </rPr>
      <t xml:space="preserve"> тыс. руб., установленной на 2023 год, величина корректировки составила </t>
    </r>
    <r>
      <rPr>
        <sz val="12"/>
        <color rgb="FFFF0000"/>
        <rFont val="PF Din Text Cond Pro Light"/>
        <charset val="204"/>
      </rPr>
      <t>___</t>
    </r>
    <r>
      <rPr>
        <sz val="12"/>
        <rFont val="PF Din Text Cond Pro Light"/>
        <charset val="204"/>
      </rPr>
      <t xml:space="preserve"> тыс. руб.</t>
    </r>
  </si>
  <si>
    <r>
      <t xml:space="preserve">Корректировка предложения «Организации» на 2023 год составила </t>
    </r>
    <r>
      <rPr>
        <sz val="12"/>
        <color rgb="FFFF0000"/>
        <rFont val="PF Din Text Cond Pro Light"/>
        <charset val="204"/>
      </rPr>
      <t>___</t>
    </r>
    <r>
      <rPr>
        <sz val="12"/>
        <rFont val="PF Din Text Cond Pro Light"/>
        <charset val="204"/>
      </rPr>
      <t xml:space="preserve"> тыс. руб. на основании:</t>
    </r>
  </si>
  <si>
    <t>В соответствии с пунктом 81 Основ ценообразования дополнительные доходы, возникшие у территориальной сетевой организации вследствие взыскания стоимости выявленного в порядке, предусмотренном Основными положениями функционирования розничных рынков электрической энергии, объема бездоговорного потребления электрической энергии с лиц, осуществляющих бездоговорное потребление электрической энергии, подлежат исключению из НВВ, рассчитываемой на следующий расчетный период регулирования.</t>
  </si>
  <si>
    <r>
      <t xml:space="preserve">В соответствии с методологией определения данных дополнительных доходов, указанной в пункте 81 Основ ценообразования, из НВВ «Организации» подлежит исключению </t>
    </r>
    <r>
      <rPr>
        <sz val="12"/>
        <color rgb="FFFF0000"/>
        <rFont val="PF Din Text Cond Pro Light"/>
        <charset val="204"/>
      </rPr>
      <t>___</t>
    </r>
    <r>
      <rPr>
        <sz val="12"/>
        <rFont val="PF Din Text Cond Pro Light"/>
        <charset val="204"/>
      </rPr>
      <t xml:space="preserve"> тыс. руб.</t>
    </r>
  </si>
  <si>
    <r>
      <t xml:space="preserve">6.2.5.3. Корректировка НВВ </t>
    </r>
    <r>
      <rPr>
        <b/>
        <u/>
        <sz val="12"/>
        <color rgb="FFFF0000"/>
        <rFont val="PF Din Text Cond Pro Light"/>
        <charset val="204"/>
      </rPr>
      <t>(при применении метода долгосрочной индексации НВВ).</t>
    </r>
  </si>
  <si>
    <t>Для метода доходности инвестированного капитала необходимо применять иные формулы и соответственно таблицы</t>
  </si>
  <si>
    <t>Таблица 29</t>
  </si>
  <si>
    <t>Обозначение</t>
  </si>
  <si>
    <r>
      <t xml:space="preserve">В </t>
    </r>
    <r>
      <rPr>
        <b/>
        <u/>
        <vertAlign val="subscript"/>
        <sz val="8"/>
        <color theme="1"/>
        <rFont val="PF Din Text Cond Pro Light"/>
        <charset val="204"/>
      </rPr>
      <t>2023</t>
    </r>
  </si>
  <si>
    <t>Расходы, связанные с компенсацией незапланированных расходов или полученного избытка</t>
  </si>
  <si>
    <r>
      <t xml:space="preserve">В </t>
    </r>
    <r>
      <rPr>
        <b/>
        <u/>
        <vertAlign val="subscript"/>
        <sz val="8"/>
        <color theme="1"/>
        <rFont val="PF Din Text Cond Pro Light"/>
        <charset val="204"/>
      </rPr>
      <t>2023</t>
    </r>
    <r>
      <rPr>
        <b/>
        <sz val="8"/>
        <color theme="1"/>
        <rFont val="PF Din Text Cond Pro Light"/>
        <charset val="204"/>
      </rPr>
      <t xml:space="preserve"> = (В</t>
    </r>
    <r>
      <rPr>
        <b/>
        <i/>
        <vertAlign val="superscript"/>
        <sz val="8"/>
        <color theme="1"/>
        <rFont val="PF Din Text Cond Pro Light"/>
        <charset val="204"/>
      </rPr>
      <t>инд</t>
    </r>
    <r>
      <rPr>
        <b/>
        <sz val="8"/>
        <color theme="1"/>
        <rFont val="PF Din Text Cond Pro Light"/>
        <charset val="204"/>
      </rPr>
      <t xml:space="preserve"> </t>
    </r>
    <r>
      <rPr>
        <b/>
        <u/>
        <vertAlign val="subscript"/>
        <sz val="8"/>
        <color theme="1"/>
        <rFont val="PF Din Text Cond Pro Light"/>
        <charset val="204"/>
      </rPr>
      <t>2023</t>
    </r>
    <r>
      <rPr>
        <b/>
        <sz val="8"/>
        <color theme="1"/>
        <rFont val="PF Din Text Cond Pro Light"/>
        <charset val="204"/>
      </rPr>
      <t xml:space="preserve"> + В</t>
    </r>
    <r>
      <rPr>
        <b/>
        <i/>
        <vertAlign val="superscript"/>
        <sz val="8"/>
        <color theme="1"/>
        <rFont val="PF Din Text Cond Pro Light"/>
        <charset val="204"/>
      </rPr>
      <t>коррИП</t>
    </r>
    <r>
      <rPr>
        <b/>
        <sz val="8"/>
        <color theme="1"/>
        <rFont val="PF Din Text Cond Pro Light"/>
        <charset val="204"/>
      </rPr>
      <t xml:space="preserve"> </t>
    </r>
    <r>
      <rPr>
        <b/>
        <u/>
        <vertAlign val="subscript"/>
        <sz val="8"/>
        <color theme="1"/>
        <rFont val="PF Din Text Cond Pro Light"/>
        <charset val="204"/>
      </rPr>
      <t>2023</t>
    </r>
    <r>
      <rPr>
        <b/>
        <sz val="8"/>
        <color theme="1"/>
        <rFont val="PF Din Text Cond Pro Light"/>
        <charset val="204"/>
      </rPr>
      <t>) ·</t>
    </r>
    <r>
      <rPr>
        <b/>
        <sz val="9.1999999999999993"/>
        <color theme="1"/>
        <rFont val="PF Din Text Cond Pro Light"/>
        <charset val="204"/>
      </rPr>
      <t xml:space="preserve"> (1+ИПЦ </t>
    </r>
    <r>
      <rPr>
        <b/>
        <vertAlign val="subscript"/>
        <sz val="9.1999999999999993"/>
        <color theme="1"/>
        <rFont val="PF Din Text Cond Pro Light"/>
        <charset val="204"/>
      </rPr>
      <t>2022/2021</t>
    </r>
    <r>
      <rPr>
        <b/>
        <sz val="9.1999999999999993"/>
        <color theme="1"/>
        <rFont val="PF Din Text Cond Pro Light"/>
        <charset val="204"/>
      </rPr>
      <t xml:space="preserve">)·
</t>
    </r>
    <r>
      <rPr>
        <b/>
        <sz val="10.6"/>
        <color theme="1"/>
        <rFont val="PF Din Text Cond Pro Light"/>
        <charset val="204"/>
      </rPr>
      <t xml:space="preserve">(1+ИПЦ </t>
    </r>
    <r>
      <rPr>
        <b/>
        <vertAlign val="subscript"/>
        <sz val="10.6"/>
        <color theme="1"/>
        <rFont val="PF Din Text Cond Pro Light"/>
        <charset val="204"/>
      </rPr>
      <t>2023/2022</t>
    </r>
    <r>
      <rPr>
        <b/>
        <sz val="10.6"/>
        <color theme="1"/>
        <rFont val="PF Din Text Cond Pro Light"/>
        <charset val="204"/>
      </rPr>
      <t>)</t>
    </r>
  </si>
  <si>
    <r>
      <t xml:space="preserve">ИПЦ год </t>
    </r>
    <r>
      <rPr>
        <i/>
        <u/>
        <sz val="8"/>
        <color theme="1"/>
        <rFont val="PF Din Text Cond Pro Light"/>
        <charset val="204"/>
      </rPr>
      <t>2022</t>
    </r>
    <r>
      <rPr>
        <i/>
        <sz val="8"/>
        <color theme="1"/>
        <rFont val="PF Din Text Cond Pro Light"/>
        <charset val="204"/>
      </rPr>
      <t xml:space="preserve">/год </t>
    </r>
    <r>
      <rPr>
        <i/>
        <u/>
        <sz val="8"/>
        <color theme="1"/>
        <rFont val="PF Din Text Cond Pro Light"/>
        <charset val="204"/>
      </rPr>
      <t>2021</t>
    </r>
  </si>
  <si>
    <t> %</t>
  </si>
  <si>
    <r>
      <t xml:space="preserve">ИПЦ год </t>
    </r>
    <r>
      <rPr>
        <i/>
        <u/>
        <sz val="8"/>
        <color theme="1"/>
        <rFont val="PF Din Text Cond Pro Light"/>
        <charset val="204"/>
      </rPr>
      <t>2023</t>
    </r>
    <r>
      <rPr>
        <i/>
        <sz val="8"/>
        <color theme="1"/>
        <rFont val="PF Din Text Cond Pro Light"/>
        <charset val="204"/>
      </rPr>
      <t xml:space="preserve">/год </t>
    </r>
    <r>
      <rPr>
        <i/>
        <u/>
        <sz val="8"/>
        <color theme="1"/>
        <rFont val="PF Din Text Cond Pro Light"/>
        <charset val="204"/>
      </rPr>
      <t>2022</t>
    </r>
  </si>
  <si>
    <r>
      <t>В</t>
    </r>
    <r>
      <rPr>
        <b/>
        <i/>
        <vertAlign val="superscript"/>
        <sz val="8"/>
        <color theme="1"/>
        <rFont val="PF Din Text Cond Pro Light"/>
        <charset val="204"/>
      </rPr>
      <t>инд</t>
    </r>
    <r>
      <rPr>
        <b/>
        <sz val="8"/>
        <color theme="1"/>
        <rFont val="PF Din Text Cond Pro Light"/>
        <charset val="204"/>
      </rPr>
      <t xml:space="preserve"> </t>
    </r>
    <r>
      <rPr>
        <b/>
        <u/>
        <vertAlign val="subscript"/>
        <sz val="8"/>
        <color theme="1"/>
        <rFont val="PF Din Text Cond Pro Light"/>
        <charset val="204"/>
      </rPr>
      <t>2023</t>
    </r>
  </si>
  <si>
    <r>
      <t>В</t>
    </r>
    <r>
      <rPr>
        <b/>
        <i/>
        <vertAlign val="superscript"/>
        <sz val="8"/>
        <color theme="1"/>
        <rFont val="PF Din Text Cond Pro Light"/>
        <charset val="204"/>
      </rPr>
      <t>инд</t>
    </r>
    <r>
      <rPr>
        <b/>
        <sz val="8"/>
        <color theme="1"/>
        <rFont val="PF Din Text Cond Pro Light"/>
        <charset val="204"/>
      </rPr>
      <t xml:space="preserve"> </t>
    </r>
    <r>
      <rPr>
        <b/>
        <u/>
        <vertAlign val="subscript"/>
        <sz val="8"/>
        <color theme="1"/>
        <rFont val="PF Din Text Cond Pro Light"/>
        <charset val="204"/>
      </rPr>
      <t>2023</t>
    </r>
    <r>
      <rPr>
        <b/>
        <sz val="8"/>
        <color theme="1"/>
        <rFont val="PF Din Text Cond Pro Light"/>
        <charset val="204"/>
      </rPr>
      <t xml:space="preserve"> = ΔПР </t>
    </r>
    <r>
      <rPr>
        <b/>
        <u/>
        <vertAlign val="subscript"/>
        <sz val="8"/>
        <color theme="1"/>
        <rFont val="PF Din Text Cond Pro Light"/>
        <charset val="204"/>
      </rPr>
      <t>2023</t>
    </r>
    <r>
      <rPr>
        <b/>
        <sz val="8"/>
        <color theme="1"/>
        <rFont val="PF Din Text Cond Pro Light"/>
        <charset val="204"/>
      </rPr>
      <t xml:space="preserve"> + ΔНР </t>
    </r>
    <r>
      <rPr>
        <b/>
        <u/>
        <vertAlign val="subscript"/>
        <sz val="8"/>
        <color theme="1"/>
        <rFont val="PF Din Text Cond Pro Light"/>
        <charset val="204"/>
      </rPr>
      <t>2023</t>
    </r>
    <r>
      <rPr>
        <b/>
        <sz val="8"/>
        <color theme="1"/>
        <rFont val="PF Din Text Cond Pro Light"/>
        <charset val="204"/>
      </rPr>
      <t xml:space="preserve"> + ΔНВВ</t>
    </r>
    <r>
      <rPr>
        <b/>
        <i/>
        <vertAlign val="superscript"/>
        <sz val="8"/>
        <color theme="1"/>
        <rFont val="PF Din Text Cond Pro Light"/>
        <charset val="204"/>
      </rPr>
      <t>сод</t>
    </r>
    <r>
      <rPr>
        <b/>
        <sz val="8"/>
        <color theme="1"/>
        <rFont val="PF Din Text Cond Pro Light"/>
        <charset val="204"/>
      </rPr>
      <t xml:space="preserve"> </t>
    </r>
    <r>
      <rPr>
        <b/>
        <u/>
        <vertAlign val="subscript"/>
        <sz val="8"/>
        <color theme="1"/>
        <rFont val="PF Din Text Cond Pro Light"/>
        <charset val="204"/>
      </rPr>
      <t>2023</t>
    </r>
    <r>
      <rPr>
        <b/>
        <sz val="8"/>
        <color theme="1"/>
        <rFont val="PF Din Text Cond Pro Light"/>
        <charset val="204"/>
      </rPr>
      <t xml:space="preserve"> + ПО </t>
    </r>
    <r>
      <rPr>
        <b/>
        <u/>
        <vertAlign val="subscript"/>
        <sz val="8"/>
        <color theme="1"/>
        <rFont val="PF Din Text Cond Pro Light"/>
        <charset val="204"/>
      </rPr>
      <t>2023</t>
    </r>
    <r>
      <rPr>
        <b/>
        <sz val="8"/>
        <color theme="1"/>
        <rFont val="PF Din Text Cond Pro Light"/>
        <charset val="204"/>
      </rPr>
      <t xml:space="preserve"> + ΔУ </t>
    </r>
    <r>
      <rPr>
        <b/>
        <vertAlign val="subscript"/>
        <sz val="8"/>
        <color theme="1"/>
        <rFont val="PF Din Text Cond Pro Light"/>
        <charset val="204"/>
      </rPr>
      <t>2</t>
    </r>
    <r>
      <rPr>
        <b/>
        <u/>
        <vertAlign val="subscript"/>
        <sz val="8"/>
        <color theme="1"/>
        <rFont val="PF Din Text Cond Pro Light"/>
        <charset val="204"/>
      </rPr>
      <t>023</t>
    </r>
  </si>
  <si>
    <r>
      <t xml:space="preserve">ΔПР </t>
    </r>
    <r>
      <rPr>
        <u/>
        <vertAlign val="subscript"/>
        <sz val="8"/>
        <color theme="1"/>
        <rFont val="PF Din Text Cond Pro Light"/>
        <charset val="204"/>
      </rPr>
      <t>2023</t>
    </r>
  </si>
  <si>
    <t>Корректировка подконтрольных расходов в связи с изменением планируемых параметров расчета тарифов</t>
  </si>
  <si>
    <r>
      <t xml:space="preserve">ΔНР </t>
    </r>
    <r>
      <rPr>
        <u/>
        <vertAlign val="subscript"/>
        <sz val="8"/>
        <color theme="1"/>
        <rFont val="PF Din Text Cond Pro Light"/>
        <charset val="204"/>
      </rPr>
      <t>2023</t>
    </r>
  </si>
  <si>
    <t>Корректировка неподконтрольных расходов исходя из фактических значений указанного параметра</t>
  </si>
  <si>
    <r>
      <t>ΔНВВ</t>
    </r>
    <r>
      <rPr>
        <i/>
        <vertAlign val="superscript"/>
        <sz val="8"/>
        <color theme="1"/>
        <rFont val="PF Din Text Cond Pro Light"/>
        <charset val="204"/>
      </rPr>
      <t>сод</t>
    </r>
    <r>
      <rPr>
        <sz val="8"/>
        <color theme="1"/>
        <rFont val="PF Din Text Cond Pro Light"/>
        <charset val="204"/>
      </rPr>
      <t xml:space="preserve"> </t>
    </r>
    <r>
      <rPr>
        <u/>
        <vertAlign val="subscript"/>
        <sz val="8"/>
        <color theme="1"/>
        <rFont val="PF Din Text Cond Pro Light"/>
        <charset val="204"/>
      </rPr>
      <t>2023</t>
    </r>
  </si>
  <si>
    <t>Корректировка НВВ по доходам от осуществления регулируемой деятельности</t>
  </si>
  <si>
    <r>
      <t xml:space="preserve">ПО </t>
    </r>
    <r>
      <rPr>
        <u/>
        <vertAlign val="subscript"/>
        <sz val="8"/>
        <color theme="1"/>
        <rFont val="PF Din Text Cond Pro Light"/>
        <charset val="204"/>
      </rPr>
      <t>2023</t>
    </r>
  </si>
  <si>
    <t>Корректировка НВВ с учетом изменения полезного отпуска и цен на электрическую энергию</t>
  </si>
  <si>
    <r>
      <t xml:space="preserve">ΔУ </t>
    </r>
    <r>
      <rPr>
        <u/>
        <vertAlign val="subscript"/>
        <sz val="8"/>
        <color theme="1"/>
        <rFont val="PF Din Text Cond Pro Light"/>
        <charset val="204"/>
      </rPr>
      <t>2023</t>
    </r>
  </si>
  <si>
    <r>
      <t xml:space="preserve">Компенсация фактических расходов в </t>
    </r>
    <r>
      <rPr>
        <u/>
        <sz val="8"/>
        <color theme="1"/>
        <rFont val="PF Din Text Cond Pro Light"/>
        <charset val="204"/>
      </rPr>
      <t>2021</t>
    </r>
    <r>
      <rPr>
        <sz val="8"/>
        <color theme="1"/>
        <rFont val="PF Din Text Cond Pro Light"/>
        <charset val="204"/>
      </rPr>
      <t xml:space="preserve"> году на выполнение обязанностей по обеспечению коммерческого учета электрической энергии (мощности), не относящиеся к капитальным вложениям</t>
    </r>
  </si>
  <si>
    <r>
      <t>В</t>
    </r>
    <r>
      <rPr>
        <b/>
        <i/>
        <vertAlign val="superscript"/>
        <sz val="8"/>
        <color theme="1"/>
        <rFont val="PF Din Text Cond Pro Light"/>
        <charset val="204"/>
      </rPr>
      <t>коррИП</t>
    </r>
    <r>
      <rPr>
        <b/>
        <sz val="8"/>
        <color theme="1"/>
        <rFont val="PF Din Text Cond Pro Light"/>
        <charset val="204"/>
      </rPr>
      <t xml:space="preserve"> </t>
    </r>
    <r>
      <rPr>
        <b/>
        <u/>
        <vertAlign val="subscript"/>
        <sz val="8"/>
        <color theme="1"/>
        <rFont val="PF Din Text Cond Pro Light"/>
        <charset val="204"/>
      </rPr>
      <t>2023</t>
    </r>
  </si>
  <si>
    <r>
      <t xml:space="preserve"> ∆НВВ</t>
    </r>
    <r>
      <rPr>
        <b/>
        <i/>
        <vertAlign val="superscript"/>
        <sz val="8"/>
        <color theme="1"/>
        <rFont val="PF Din Text Cond Pro Light"/>
        <charset val="204"/>
      </rPr>
      <t>корр пр</t>
    </r>
  </si>
  <si>
    <r>
      <t xml:space="preserve">Корректировка НВВ, учтенная в </t>
    </r>
    <r>
      <rPr>
        <b/>
        <u/>
        <sz val="8"/>
        <color theme="1"/>
        <rFont val="PF Din Text Cond Pro Light"/>
        <charset val="204"/>
      </rPr>
      <t>2022</t>
    </r>
    <r>
      <rPr>
        <b/>
        <sz val="8"/>
        <color theme="1"/>
        <rFont val="PF Din Text Cond Pro Light"/>
        <charset val="204"/>
      </rPr>
      <t xml:space="preserve"> году долгосрочного периода регулирования за истекший период </t>
    </r>
    <r>
      <rPr>
        <b/>
        <u/>
        <sz val="8"/>
        <color theme="1"/>
        <rFont val="PF Din Text Cond Pro Light"/>
        <charset val="204"/>
      </rPr>
      <t>2021</t>
    </r>
    <r>
      <rPr>
        <b/>
        <sz val="8"/>
        <color theme="1"/>
        <rFont val="PF Din Text Cond Pro Light"/>
        <charset val="204"/>
      </rPr>
      <t xml:space="preserve"> года</t>
    </r>
  </si>
  <si>
    <r>
      <t xml:space="preserve">Корр НиК </t>
    </r>
    <r>
      <rPr>
        <b/>
        <u/>
        <vertAlign val="subscript"/>
        <sz val="8"/>
        <color theme="1"/>
        <rFont val="PF Din Text Cond Pro Light"/>
        <charset val="204"/>
      </rPr>
      <t>2023</t>
    </r>
  </si>
  <si>
    <r>
      <t xml:space="preserve">Корректировка НВВ на </t>
    </r>
    <r>
      <rPr>
        <b/>
        <u/>
        <sz val="8"/>
        <color theme="1"/>
        <rFont val="PF Din Text Cond Pro Light"/>
        <charset val="204"/>
      </rPr>
      <t>2023</t>
    </r>
    <r>
      <rPr>
        <b/>
        <sz val="8"/>
        <color theme="1"/>
        <rFont val="PF Din Text Cond Pro Light"/>
        <charset val="204"/>
      </rPr>
      <t xml:space="preserve"> год по показателям уровня надежности и качества оказываемых услуг в </t>
    </r>
    <r>
      <rPr>
        <b/>
        <u/>
        <sz val="8"/>
        <color theme="1"/>
        <rFont val="PF Din Text Cond Pro Light"/>
        <charset val="204"/>
      </rPr>
      <t>2021</t>
    </r>
    <r>
      <rPr>
        <b/>
        <sz val="8"/>
        <color theme="1"/>
        <rFont val="PF Din Text Cond Pro Light"/>
        <charset val="204"/>
      </rPr>
      <t xml:space="preserve"> году</t>
    </r>
  </si>
  <si>
    <r>
      <t xml:space="preserve">Вбп </t>
    </r>
    <r>
      <rPr>
        <b/>
        <u/>
        <vertAlign val="subscript"/>
        <sz val="8"/>
        <color theme="1"/>
        <rFont val="PF Din Text Cond Pro Light"/>
        <charset val="204"/>
      </rPr>
      <t>2021</t>
    </r>
  </si>
  <si>
    <r>
      <t xml:space="preserve">Дополнительные доходы, полученные по факту </t>
    </r>
    <r>
      <rPr>
        <b/>
        <u/>
        <sz val="8"/>
        <color theme="1"/>
        <rFont val="PF Din Text Cond Pro Light"/>
        <charset val="204"/>
      </rPr>
      <t>2021</t>
    </r>
    <r>
      <rPr>
        <b/>
        <sz val="8"/>
        <color theme="1"/>
        <rFont val="PF Din Text Cond Pro Light"/>
        <charset val="204"/>
      </rPr>
      <t xml:space="preserve"> года вследствие взыскания стоимости выявленного  бездоговорного  потребления электроэнергии</t>
    </r>
  </si>
  <si>
    <r>
      <t xml:space="preserve">∆Корр </t>
    </r>
    <r>
      <rPr>
        <b/>
        <u/>
        <vertAlign val="subscript"/>
        <sz val="8"/>
        <color theme="1"/>
        <rFont val="PF Din Text Cond Pro Light"/>
        <charset val="204"/>
      </rPr>
      <t>2023</t>
    </r>
  </si>
  <si>
    <r>
      <t xml:space="preserve">ИТОГО Корректировка НВВ на </t>
    </r>
    <r>
      <rPr>
        <b/>
        <u/>
        <sz val="8"/>
        <color theme="1"/>
        <rFont val="PF Din Text Cond Pro Light"/>
        <charset val="204"/>
      </rPr>
      <t>n</t>
    </r>
    <r>
      <rPr>
        <b/>
        <sz val="8"/>
        <color theme="1"/>
        <rFont val="PF Din Text Cond Pro Light"/>
        <charset val="204"/>
      </rPr>
      <t xml:space="preserve"> год долгосрочного периода регулирования (п.1. - п.2. + п.3. - п.4.)</t>
    </r>
  </si>
  <si>
    <t>В соответствии с пунктом 38 Основ ценообразования в течение долгосрочного периода регулирования регулирующими органами ежегодно производится корректировка НВВ, устанавливаемой на очередной период регулирования в соответствии с методическими указаниями, предусмотренными пунктами 32 и (или) 38 Основ ценообразования.</t>
  </si>
  <si>
    <r>
      <t xml:space="preserve">В соответствии с Методическими указаниями № 98 и Основами ценообразования «Регулятором» произведен расчет корректировки НВВ в размере </t>
    </r>
    <r>
      <rPr>
        <sz val="12"/>
        <color rgb="FFFF0000"/>
        <rFont val="PF Din Text Cond Pro Light"/>
        <charset val="204"/>
      </rPr>
      <t>___</t>
    </r>
    <r>
      <rPr>
        <sz val="12"/>
        <rFont val="PF Din Text Cond Pro Light"/>
        <charset val="204"/>
      </rPr>
      <t xml:space="preserve"> тыс. руб.</t>
    </r>
  </si>
  <si>
    <t>6.2.5.3.1.  Корректировка подконтрольных расходов в связи с изменением планируемых параметров расчета тарифов.</t>
  </si>
  <si>
    <t>Корректировка подконтрольных расходов</t>
  </si>
  <si>
    <t>Таблица 30</t>
  </si>
  <si>
    <t>7=6-5</t>
  </si>
  <si>
    <t xml:space="preserve">Корректировка подконтрольных расходов в связи с изменением планируемых параметров расчета тарифов                                                                                      </t>
  </si>
  <si>
    <r>
      <t>ПР</t>
    </r>
    <r>
      <rPr>
        <i/>
        <vertAlign val="superscript"/>
        <sz val="8"/>
        <color theme="1"/>
        <rFont val="PF Din Text Cond Pro Light"/>
        <charset val="204"/>
      </rPr>
      <t>уст</t>
    </r>
    <r>
      <rPr>
        <sz val="8"/>
        <color theme="1"/>
        <rFont val="PF Din Text Cond Pro Light"/>
        <charset val="204"/>
      </rPr>
      <t xml:space="preserve"> </t>
    </r>
    <r>
      <rPr>
        <u/>
        <vertAlign val="subscript"/>
        <sz val="8"/>
        <color theme="1"/>
        <rFont val="PF Din Text Cond Pro Light"/>
        <charset val="204"/>
      </rPr>
      <t>2021</t>
    </r>
  </si>
  <si>
    <r>
      <t xml:space="preserve">Уровень подконтрольных расходов, установленный регулирующим органом на </t>
    </r>
    <r>
      <rPr>
        <u/>
        <sz val="8"/>
        <color theme="1"/>
        <rFont val="PF Din Text Cond Pro Light"/>
        <charset val="204"/>
      </rPr>
      <t>2021</t>
    </r>
    <r>
      <rPr>
        <sz val="8"/>
        <color theme="1"/>
        <rFont val="PF Din Text Cond Pro Light"/>
        <charset val="204"/>
      </rPr>
      <t xml:space="preserve"> год</t>
    </r>
  </si>
  <si>
    <r>
      <t xml:space="preserve">X </t>
    </r>
    <r>
      <rPr>
        <u/>
        <vertAlign val="subscript"/>
        <sz val="8"/>
        <color theme="1"/>
        <rFont val="PF Din Text Cond Pro Light"/>
        <charset val="204"/>
      </rPr>
      <t>2023</t>
    </r>
  </si>
  <si>
    <t xml:space="preserve">Индекс эффективности подконтрольных расходов </t>
  </si>
  <si>
    <r>
      <t>ИПЦ</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</si>
  <si>
    <r>
      <t>К</t>
    </r>
    <r>
      <rPr>
        <vertAlign val="subscript"/>
        <sz val="8"/>
        <color theme="1"/>
        <rFont val="PF Din Text Cond Pro Light"/>
        <charset val="204"/>
      </rPr>
      <t>эл</t>
    </r>
  </si>
  <si>
    <t>Коэффициент эластичности подконтрольных расходов по количеству активов</t>
  </si>
  <si>
    <t>- </t>
  </si>
  <si>
    <r>
      <t>ИКА</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</si>
  <si>
    <t xml:space="preserve">Фактический индекс изменения количества активов                                                                                                </t>
  </si>
  <si>
    <r>
      <t>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</si>
  <si>
    <t> у.е.</t>
  </si>
  <si>
    <r>
      <t>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2020</t>
    </r>
  </si>
  <si>
    <t> у.е. </t>
  </si>
  <si>
    <t>6.2.5.3.2. Корректировка неподконтрольных расходов</t>
  </si>
  <si>
    <t>Корректировка неподконтрольных расходов</t>
  </si>
  <si>
    <t>Таблица 31</t>
  </si>
  <si>
    <t>Плановая величина неподконтрольных расходов</t>
  </si>
  <si>
    <t>Фактическая величина неподконтрольных расходов</t>
  </si>
  <si>
    <r>
      <t>(НР</t>
    </r>
    <r>
      <rPr>
        <b/>
        <i/>
        <vertAlign val="superscript"/>
        <sz val="8"/>
        <color theme="1"/>
        <rFont val="PF Din Text Cond Pro Light"/>
        <charset val="204"/>
      </rPr>
      <t>расх.план</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t>
    </r>
  </si>
  <si>
    <r>
      <t>(НР</t>
    </r>
    <r>
      <rPr>
        <b/>
        <i/>
        <vertAlign val="superscript"/>
        <sz val="8"/>
        <color theme="1"/>
        <rFont val="PF Din Text Cond Pro Light"/>
        <charset val="204"/>
      </rPr>
      <t>расх.факт</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t>
    </r>
  </si>
  <si>
    <r>
      <t xml:space="preserve">(ΔНР </t>
    </r>
    <r>
      <rPr>
        <b/>
        <u/>
        <vertAlign val="subscript"/>
        <sz val="8"/>
        <color theme="1"/>
        <rFont val="PF Din Text Cond Pro Light"/>
        <charset val="204"/>
      </rPr>
      <t>2023</t>
    </r>
    <r>
      <rPr>
        <b/>
        <sz val="8"/>
        <color theme="1"/>
        <rFont val="PF Din Text Cond Pro Light"/>
        <charset val="204"/>
      </rPr>
      <t>)</t>
    </r>
  </si>
  <si>
    <r>
      <t xml:space="preserve">ΔНР </t>
    </r>
    <r>
      <rPr>
        <b/>
        <u/>
        <vertAlign val="subscript"/>
        <sz val="8"/>
        <color theme="1"/>
        <rFont val="PF Din Text Cond Pro Light"/>
        <charset val="204"/>
      </rPr>
      <t>2023</t>
    </r>
    <r>
      <rPr>
        <b/>
        <sz val="8"/>
        <color theme="1"/>
        <rFont val="PF Din Text Cond Pro Light"/>
        <charset val="204"/>
      </rPr>
      <t xml:space="preserve">  = НР</t>
    </r>
    <r>
      <rPr>
        <b/>
        <i/>
        <vertAlign val="superscript"/>
        <sz val="8"/>
        <color theme="1"/>
        <rFont val="PF Din Text Cond Pro Light"/>
        <charset val="204"/>
      </rPr>
      <t>расх.факт</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 xml:space="preserve"> – НР</t>
    </r>
    <r>
      <rPr>
        <b/>
        <i/>
        <vertAlign val="superscript"/>
        <sz val="8"/>
        <color theme="1"/>
        <rFont val="PF Din Text Cond Pro Light"/>
        <charset val="204"/>
      </rPr>
      <t>расх.план</t>
    </r>
    <r>
      <rPr>
        <b/>
        <sz val="8"/>
        <color theme="1"/>
        <rFont val="PF Din Text Cond Pro Light"/>
        <charset val="204"/>
      </rPr>
      <t xml:space="preserve"> </t>
    </r>
    <r>
      <rPr>
        <b/>
        <u/>
        <vertAlign val="subscript"/>
        <sz val="8"/>
        <color theme="1"/>
        <rFont val="PF Din Text Cond Pro Light"/>
        <charset val="204"/>
      </rPr>
      <t>2021</t>
    </r>
  </si>
  <si>
    <t>Оплата услуг ПАО «ФСК ЕЭС»</t>
  </si>
  <si>
    <t>Оплата услуг ТСО</t>
  </si>
  <si>
    <t>Стоимость услуг территориальных сетевых организаций по одноставочному тарифу</t>
  </si>
  <si>
    <t>Стоимость услуг территориальных сетевых организаций по двуставочному тарифу в т.ч.:</t>
  </si>
  <si>
    <t>Затраты по ставке на содержание сетей</t>
  </si>
  <si>
    <t>Затраты по ставке на оплату потерь</t>
  </si>
  <si>
    <t>Энергия на хозяйственные нужды, в том числе:</t>
  </si>
  <si>
    <t>электроэнергия</t>
  </si>
  <si>
    <t>теплоэнергия</t>
  </si>
  <si>
    <t>Налоги, в том числе:</t>
  </si>
  <si>
    <t>1.5.1.</t>
  </si>
  <si>
    <t>1.5.2.</t>
  </si>
  <si>
    <t>1.5.3.</t>
  </si>
  <si>
    <t>прочие налоги и сборы</t>
  </si>
  <si>
    <t xml:space="preserve">Расходы, связанные с возвратом заемных средств </t>
  </si>
  <si>
    <r>
      <t>Выпадающие доходы, связанные с осуществлением льготного технологического присоединения</t>
    </r>
    <r>
      <rPr>
        <sz val="8"/>
        <color rgb="FF000000"/>
        <rFont val="PF Din Text Cond Pro Light"/>
        <charset val="204"/>
      </rPr>
      <t>, в том числе:</t>
    </r>
  </si>
  <si>
    <t>1.10.1.</t>
  </si>
  <si>
    <t>некапитальные расходы (себестоимость)</t>
  </si>
  <si>
    <t>1.10.2.</t>
  </si>
  <si>
    <t xml:space="preserve">капитальные затраты (выполнения мероприятий «последней мили»)                                                                                                                                                        </t>
  </si>
  <si>
    <t>1.10.3.</t>
  </si>
  <si>
    <r>
      <t>Налог на прибыль</t>
    </r>
    <r>
      <rPr>
        <sz val="8"/>
        <color rgb="FF000000"/>
        <rFont val="PF Din Text Cond Pro Light"/>
        <charset val="204"/>
      </rPr>
      <t>, в том числе:</t>
    </r>
  </si>
  <si>
    <t>1.11.1.</t>
  </si>
  <si>
    <t>налог на прибыль по ТП</t>
  </si>
  <si>
    <t>1.12.</t>
  </si>
  <si>
    <t>6.2.5.3.3. Корректировка НВВ по доходам от осуществления регулируемой деятельности.</t>
  </si>
  <si>
    <r>
      <t>НВВ</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</si>
  <si>
    <r>
      <t xml:space="preserve">Фактический объем выручки за услуги по передаче электрической энергии за </t>
    </r>
    <r>
      <rPr>
        <u/>
        <sz val="8"/>
        <color theme="1"/>
        <rFont val="PF Din Text Cond Pro Light"/>
        <charset val="204"/>
      </rPr>
      <t>2021</t>
    </r>
    <r>
      <rPr>
        <sz val="8"/>
        <color theme="1"/>
        <rFont val="PF Din Text Cond Pro Light"/>
        <charset val="204"/>
      </rPr>
      <t xml:space="preserve"> год в части содержания электрических сетей (с учетом фактически недополученной выручки по зависящим от сетевой организации причинам), определяемый исходя из установленных на </t>
    </r>
    <r>
      <rPr>
        <u/>
        <sz val="8"/>
        <color theme="1"/>
        <rFont val="PF Din Text Cond Pro Light"/>
        <charset val="204"/>
      </rPr>
      <t>2021</t>
    </r>
    <r>
      <rPr>
        <sz val="8"/>
        <color theme="1"/>
        <rFont val="PF Din Text Cond Pro Light"/>
        <charset val="204"/>
      </rPr>
      <t xml:space="preserve"> год тарифов на услуги по передаче электрической энергии без учета ставки, используемой для целей определения расходов на оплату нормативных потерь электрической энергии при ее передаче по электрическим сетям, и фактических объемов оказанных услуг</t>
    </r>
  </si>
  <si>
    <t>6.2.5.3.4. Корректировка НВВ с учетом изменения полезного отпуска и цен на электрическую энергию.</t>
  </si>
  <si>
    <t>Таблица 32</t>
  </si>
  <si>
    <t xml:space="preserve">Корректировка НВВ с учетом изменения полезного отпуска и цен на электрическую энергию                                                                      </t>
  </si>
  <si>
    <r>
      <t xml:space="preserve">П </t>
    </r>
    <r>
      <rPr>
        <vertAlign val="superscript"/>
        <sz val="8"/>
        <color rgb="FF000000"/>
        <rFont val="PF Din Text Cond Pro Light"/>
        <charset val="204"/>
      </rPr>
      <t>ф</t>
    </r>
    <r>
      <rPr>
        <sz val="8"/>
        <color rgb="FF000000"/>
        <rFont val="PF Din Text Cond Pro Light"/>
        <charset val="204"/>
      </rPr>
      <t xml:space="preserve"> </t>
    </r>
    <r>
      <rPr>
        <u/>
        <vertAlign val="subscript"/>
        <sz val="8"/>
        <color rgb="FF000000"/>
        <rFont val="PF Din Text Cond Pro Light"/>
        <charset val="204"/>
      </rPr>
      <t>2021</t>
    </r>
  </si>
  <si>
    <r>
      <t xml:space="preserve">Величина фактических потерь электрической энергии в сетях в </t>
    </r>
    <r>
      <rPr>
        <u/>
        <sz val="8"/>
        <color rgb="FF000000"/>
        <rFont val="PF Din Text Cond Pro Light"/>
        <charset val="204"/>
      </rPr>
      <t>2021</t>
    </r>
    <r>
      <rPr>
        <sz val="8"/>
        <color rgb="FF000000"/>
        <rFont val="PF Din Text Cond Pro Light"/>
        <charset val="204"/>
      </rPr>
      <t xml:space="preserve"> году</t>
    </r>
  </si>
  <si>
    <r>
      <t xml:space="preserve">Э </t>
    </r>
    <r>
      <rPr>
        <vertAlign val="superscript"/>
        <sz val="8"/>
        <color rgb="FF000000"/>
        <rFont val="PF Din Text Cond Pro Light"/>
        <charset val="204"/>
      </rPr>
      <t>отп.ф</t>
    </r>
    <r>
      <rPr>
        <sz val="8"/>
        <color rgb="FF000000"/>
        <rFont val="PF Din Text Cond Pro Light"/>
        <charset val="204"/>
      </rPr>
      <t xml:space="preserve"> </t>
    </r>
    <r>
      <rPr>
        <u/>
        <vertAlign val="subscript"/>
        <sz val="8"/>
        <color rgb="FF000000"/>
        <rFont val="PF Din Text Cond Pro Light"/>
        <charset val="204"/>
      </rPr>
      <t>2021</t>
    </r>
  </si>
  <si>
    <r>
      <t xml:space="preserve">Фактический объем отпуска электрической энергии в сеть сетевой организации, определяемый регулирующими органами за </t>
    </r>
    <r>
      <rPr>
        <u/>
        <sz val="8"/>
        <color rgb="FF000000"/>
        <rFont val="PF Din Text Cond Pro Light"/>
        <charset val="204"/>
      </rPr>
      <t>2021</t>
    </r>
    <r>
      <rPr>
        <sz val="8"/>
        <color rgb="FF000000"/>
        <rFont val="PF Din Text Cond Pro Light"/>
        <charset val="204"/>
      </rPr>
      <t>-й год долгосрочного периода регулирования</t>
    </r>
  </si>
  <si>
    <r>
      <t xml:space="preserve">ЦП </t>
    </r>
    <r>
      <rPr>
        <vertAlign val="superscript"/>
        <sz val="8"/>
        <color rgb="FF000000"/>
        <rFont val="PF Din Text Cond Pro Light"/>
        <charset val="204"/>
      </rPr>
      <t>ф</t>
    </r>
    <r>
      <rPr>
        <sz val="8"/>
        <color rgb="FF000000"/>
        <rFont val="PF Din Text Cond Pro Light"/>
        <charset val="204"/>
      </rPr>
      <t xml:space="preserve"> </t>
    </r>
    <r>
      <rPr>
        <u/>
        <vertAlign val="subscript"/>
        <sz val="8"/>
        <color rgb="FF000000"/>
        <rFont val="PF Din Text Cond Pro Light"/>
        <charset val="204"/>
      </rPr>
      <t>2021</t>
    </r>
  </si>
  <si>
    <r>
      <t xml:space="preserve">Средневзвешенная фактическая цена покупки электрической энергии (мощности) в целях компенсации потерь электрической энергии в сетях в </t>
    </r>
    <r>
      <rPr>
        <u/>
        <sz val="8"/>
        <color rgb="FF000000"/>
        <rFont val="PF Din Text Cond Pro Light"/>
        <charset val="204"/>
      </rPr>
      <t>2021</t>
    </r>
    <r>
      <rPr>
        <sz val="8"/>
        <color rgb="FF000000"/>
        <rFont val="PF Din Text Cond Pro Light"/>
        <charset val="204"/>
      </rPr>
      <t xml:space="preserve"> году</t>
    </r>
  </si>
  <si>
    <r>
      <t xml:space="preserve">ЦП </t>
    </r>
    <r>
      <rPr>
        <u/>
        <vertAlign val="subscript"/>
        <sz val="8"/>
        <color rgb="FF000000"/>
        <rFont val="PF Din Text Cond Pro Light"/>
        <charset val="204"/>
      </rPr>
      <t>2021</t>
    </r>
  </si>
  <si>
    <r>
      <t xml:space="preserve">Прогнозная цена покупки потерь электрической энергии (мощности) в сетях в </t>
    </r>
    <r>
      <rPr>
        <u/>
        <sz val="8"/>
        <color rgb="FF000000"/>
        <rFont val="PF Din Text Cond Pro Light"/>
        <charset val="204"/>
      </rPr>
      <t>2021</t>
    </r>
    <r>
      <rPr>
        <sz val="8"/>
        <color rgb="FF000000"/>
        <rFont val="PF Din Text Cond Pro Light"/>
        <charset val="204"/>
      </rPr>
      <t xml:space="preserve"> году, учтенная при установлении тарифов на услуги по передаче электрической энергии по электрическим сетям, принадлежащим на праве собственности или ином законном основании сетевым организациям</t>
    </r>
  </si>
  <si>
    <r>
      <t xml:space="preserve">N </t>
    </r>
    <r>
      <rPr>
        <u/>
        <vertAlign val="subscript"/>
        <sz val="8"/>
        <color rgb="FF000000"/>
        <rFont val="PF Din Text Cond Pro Light"/>
        <charset val="204"/>
      </rPr>
      <t>2021</t>
    </r>
  </si>
  <si>
    <r>
      <t xml:space="preserve">Уровень потерь электрической энергии при ее передаче по электрическим сетям, установленный регулирующим органом на долгосрочный период регулирования, к которому относится </t>
    </r>
    <r>
      <rPr>
        <u/>
        <sz val="8"/>
        <color rgb="FF000000"/>
        <rFont val="PF Din Text Cond Pro Light"/>
        <charset val="204"/>
      </rPr>
      <t>2021</t>
    </r>
    <r>
      <rPr>
        <sz val="8"/>
        <color rgb="FF000000"/>
        <rFont val="PF Din Text Cond Pro Light"/>
        <charset val="204"/>
      </rPr>
      <t xml:space="preserve"> год, в соответствии с пунктом 40(1) Основ ценообразования</t>
    </r>
  </si>
  <si>
    <t>6.2.5.3.5. Компенсация фактических расходов на выполнение обязанностей по обеспечению коммерческого учета электрической энергии (мощности), не относящиеся к капитальным вложениям.</t>
  </si>
  <si>
    <t>Компенсация фактических расходов на выполнение обязанностей по обеспечению коммерческого учета электрической энергии (мощности), не относящиеся к капитальным вложениям.</t>
  </si>
  <si>
    <t>Таблица 33</t>
  </si>
  <si>
    <r>
      <t xml:space="preserve">∆У </t>
    </r>
    <r>
      <rPr>
        <b/>
        <u/>
        <vertAlign val="subscript"/>
        <sz val="8"/>
        <color theme="1"/>
        <rFont val="PF Din Text Cond Pro Light"/>
        <charset val="204"/>
      </rPr>
      <t>2023</t>
    </r>
  </si>
  <si>
    <t>Компенсация фактических расходов на выполнение обязанностей по обеспечению коммерческого учета электрической энергии (мощности), не относящиеся к капитальным вложениям</t>
  </si>
  <si>
    <r>
      <t xml:space="preserve">∆У </t>
    </r>
    <r>
      <rPr>
        <b/>
        <u/>
        <vertAlign val="subscript"/>
        <sz val="8"/>
        <color theme="1"/>
        <rFont val="PF Din Text Cond Pro Light"/>
        <charset val="204"/>
      </rPr>
      <t>2023</t>
    </r>
    <r>
      <rPr>
        <b/>
        <sz val="8"/>
        <color theme="1"/>
        <rFont val="PF Din Text Cond Pro Light"/>
        <charset val="204"/>
      </rPr>
      <t xml:space="preserve"> = У </t>
    </r>
    <r>
      <rPr>
        <b/>
        <vertAlign val="superscript"/>
        <sz val="8"/>
        <color theme="1"/>
        <rFont val="PF Din Text Cond Pro Light"/>
        <charset val="204"/>
      </rPr>
      <t>факт</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 xml:space="preserve"> - ∆У </t>
    </r>
    <r>
      <rPr>
        <b/>
        <u/>
        <vertAlign val="subscript"/>
        <sz val="8"/>
        <color theme="1"/>
        <rFont val="PF Din Text Cond Pro Light"/>
        <charset val="204"/>
      </rPr>
      <t>2021</t>
    </r>
  </si>
  <si>
    <r>
      <t xml:space="preserve">У </t>
    </r>
    <r>
      <rPr>
        <b/>
        <vertAlign val="superscript"/>
        <sz val="8"/>
        <color rgb="FF000000"/>
        <rFont val="PF Din Text Cond Pro Light"/>
        <charset val="204"/>
      </rPr>
      <t>факт</t>
    </r>
    <r>
      <rPr>
        <b/>
        <sz val="8"/>
        <color rgb="FF000000"/>
        <rFont val="PF Din Text Cond Pro Light"/>
        <charset val="204"/>
      </rPr>
      <t xml:space="preserve"> </t>
    </r>
    <r>
      <rPr>
        <b/>
        <u/>
        <vertAlign val="subscript"/>
        <sz val="8"/>
        <color rgb="FF000000"/>
        <rFont val="PF Din Text Cond Pro Light"/>
        <charset val="204"/>
      </rPr>
      <t>2021</t>
    </r>
  </si>
  <si>
    <r>
      <t xml:space="preserve">Фактические расходы в </t>
    </r>
    <r>
      <rPr>
        <b/>
        <u/>
        <sz val="8"/>
        <color theme="1"/>
        <rFont val="PF Din Text Cond Pro Light"/>
        <charset val="204"/>
      </rPr>
      <t>2021</t>
    </r>
    <r>
      <rPr>
        <b/>
        <sz val="8"/>
        <color theme="1"/>
        <rFont val="PF Din Text Cond Pro Light"/>
        <charset val="204"/>
      </rPr>
      <t xml:space="preserve"> году на выполнение обязанностей по обеспечению коммерческого учета электрической энергии (мощности), не относящиеся к капитальным вложениям</t>
    </r>
  </si>
  <si>
    <t>Расходы на ремонт (замену) ПУ (ИТ) КУ, находящихся на балансе</t>
  </si>
  <si>
    <t>Расходы на услуги операторов связи по сбору данных с установленных ПУ</t>
  </si>
  <si>
    <t>Расходы на проведение поверок ПУ (ИТ) КУ, находящихся на балансе потребителей</t>
  </si>
  <si>
    <t>(...)</t>
  </si>
  <si>
    <r>
      <t xml:space="preserve">У </t>
    </r>
    <r>
      <rPr>
        <b/>
        <u/>
        <vertAlign val="subscript"/>
        <sz val="8"/>
        <color rgb="FF000000"/>
        <rFont val="PF Din Text Cond Pro Light"/>
        <charset val="204"/>
      </rPr>
      <t>2021</t>
    </r>
  </si>
  <si>
    <r>
      <t xml:space="preserve">Плановые расходы на </t>
    </r>
    <r>
      <rPr>
        <b/>
        <u/>
        <sz val="8"/>
        <color theme="1"/>
        <rFont val="PF Din Text Cond Pro Light"/>
        <charset val="204"/>
      </rPr>
      <t>2021</t>
    </r>
    <r>
      <rPr>
        <b/>
        <sz val="8"/>
        <color theme="1"/>
        <rFont val="PF Din Text Cond Pro Light"/>
        <charset val="204"/>
      </rPr>
      <t xml:space="preserve"> год на выполнение обязанностей по обеспечению коммерческого учета электрической энергии (мощности), не относящиеся к капитальным вложениям</t>
    </r>
  </si>
  <si>
    <t>3.6.</t>
  </si>
  <si>
    <t>6.2.5.3.5. Корректировка НВВ, осуществляемая в связи с изменением (неисполнением) инвестиционной программы.</t>
  </si>
  <si>
    <t>Таблица 34</t>
  </si>
  <si>
    <r>
      <t xml:space="preserve">Плановый размер финансирования инвестиционной программы принят в соответствии с параметрами программы утвержденной приказом </t>
    </r>
    <r>
      <rPr>
        <sz val="12"/>
        <color rgb="FFFF0000"/>
        <rFont val="PF Din Text Cond Pro Light"/>
        <charset val="204"/>
      </rPr>
      <t>Минэнерго России (нормативно-правовым актом органа исполнительной власти субъекта Российской Федерации) от __.__.20__ № ______ на 20__-20__ гг.</t>
    </r>
  </si>
  <si>
    <t>6.2.6. Распределение корректировок НВВ, производимого в целях сглаживания роста тарифов.</t>
  </si>
  <si>
    <t>В соответствии с пунктом 7 Основ ценообразования исключение экономически необоснованных доходов и расходов организаций, осуществляющих регулируемую деятельность, выявленных в том числе по результатам проверки их хозяйственной деятельности, учет экономически обоснованных расходов организаций, осуществляющих регулируемую деятельность, не учтенных при установлении регулируемых цен (тарифов) на тот период регулирования, в котором они понесены, или доходов, недополученных при осуществлении регулируемой деятельности в этот период регулирования по независящим от организации, осуществляющей регулируемую деятельность, причинам, в целях сглаживания изменения тарифов могут осуществляться в течение периода, в том числе относящегося к разным долгосрочным периодам регулирования, который не может быть более 5 лет. В этом случае распределение исключаемых экономически необоснованных доходов и расходов, учитываемых экономически обоснованных расходов, не учтенных при установлении регулируемых цен (тарифов) на тот период регулирования, в котором они понесены, или доходов, недополученных при осуществлении регулируемой деятельности в этот период регулирования, осуществляется при расчете НВВ соответствующего годового периода регулирования с учетом параметров прогноза социально-экономического развития Российской Федерации.</t>
  </si>
  <si>
    <t>Распределение корректировок НВВ, производимого в целях сглаживания роста тарифов</t>
  </si>
  <si>
    <t>Таблица 35</t>
  </si>
  <si>
    <t>2017 год</t>
  </si>
  <si>
    <t>2018 год</t>
  </si>
  <si>
    <t>2019 год</t>
  </si>
  <si>
    <t>2020 год</t>
  </si>
  <si>
    <t>2021 год</t>
  </si>
  <si>
    <t>2022 год</t>
  </si>
  <si>
    <t>Тарифно-балансовое решение</t>
  </si>
  <si>
    <t>Корректировка, включенная в расчет НВВ на соответствующий период регулирования (1. = 1.1. + 1.2.)</t>
  </si>
  <si>
    <r>
      <t xml:space="preserve">Корректировка, примененная в данном году периода регулирования за </t>
    </r>
    <r>
      <rPr>
        <b/>
        <sz val="8"/>
        <color theme="1"/>
        <rFont val="PF Din Text Cond Pro Light"/>
        <charset val="204"/>
      </rPr>
      <t>i-2 год</t>
    </r>
    <r>
      <rPr>
        <b/>
        <sz val="8"/>
        <color rgb="FF000000"/>
        <rFont val="PF Din Text Cond Pro Light"/>
        <charset val="204"/>
      </rPr>
      <t xml:space="preserve">                                                                                                                                                                                                                                                                                                                                                                                                                                                                                                                                                                                                                                           (без учета перераспределения)</t>
    </r>
  </si>
  <si>
    <t>1.1.a.</t>
  </si>
  <si>
    <r>
      <t xml:space="preserve">Справочно:
</t>
    </r>
    <r>
      <rPr>
        <sz val="8"/>
        <color theme="1"/>
        <rFont val="PF Din Text Cond Pro Light"/>
        <charset val="204"/>
      </rPr>
      <t>Корректировка текущего периода рассчитанная в соответствии с методическими указаниями, утверждаемыми Федеральной антимонопольной службой за i-2 год (расчет произведен в разделе 6.2.5.3.)</t>
    </r>
  </si>
  <si>
    <t>1.1.b.</t>
  </si>
  <si>
    <r>
      <t xml:space="preserve">Справочно:
</t>
    </r>
    <r>
      <rPr>
        <sz val="8"/>
        <color theme="1"/>
        <rFont val="PF Din Text Cond Pro Light"/>
        <charset val="204"/>
      </rPr>
      <t>Величина корректировки НВВ подлежащая учету в НВВ последующих периодов регулирования за i-2 год (без учета ИПЦ) (1.1.b. = 1.1.a. – 1.1.)</t>
    </r>
  </si>
  <si>
    <t>Корректировки прошлых лет (перераспределенные)</t>
  </si>
  <si>
    <t>1.2.a.</t>
  </si>
  <si>
    <t>Корректировки 2017 года</t>
  </si>
  <si>
    <t>в том числе ИПЦ</t>
  </si>
  <si>
    <t>1.2.b.</t>
  </si>
  <si>
    <t>Корректировки 2018 года</t>
  </si>
  <si>
    <t>1.2.c.</t>
  </si>
  <si>
    <t>Корректировки 2019 года</t>
  </si>
  <si>
    <t>1.2.d.</t>
  </si>
  <si>
    <t>Корректировки 2020 года</t>
  </si>
  <si>
    <t>1.2.e.</t>
  </si>
  <si>
    <t>Корректировки 2021 года</t>
  </si>
  <si>
    <t>1.2.f.</t>
  </si>
  <si>
    <t>Корректировки 2022 года</t>
  </si>
  <si>
    <t>Индекс потребительских цен (ИПЦ), %</t>
  </si>
  <si>
    <r>
      <t xml:space="preserve">Оставшаяся величина корректировки НВВ «Организации» в размере </t>
    </r>
    <r>
      <rPr>
        <sz val="12"/>
        <color rgb="FFFF0000"/>
        <rFont val="PF Din Text Cond Pro Light"/>
        <charset val="204"/>
      </rPr>
      <t>___</t>
    </r>
    <r>
      <rPr>
        <sz val="12"/>
        <rFont val="PF Din Text Cond Pro Light"/>
        <charset val="204"/>
      </rPr>
      <t xml:space="preserve"> тыс. руб. (без учета ИПЦ) подлежит учету в НВВ последующих периодов регулирования с учетом параметров прогноза социально-экономического развития Российской Федерации.</t>
    </r>
  </si>
  <si>
    <t>6.2.7. Экономия от снижения технологических потерь</t>
  </si>
  <si>
    <t>Расчет экономии расходов на оплату потерь электрической энергии</t>
  </si>
  <si>
    <t>Таблица 36</t>
  </si>
  <si>
    <t>Экономия расходов на оплату потерь электрической энергии</t>
  </si>
  <si>
    <t>x</t>
  </si>
  <si>
    <t>Уровень потерь электрической энергии при ее передаче по электрическим сетям, являющийся долгосрочным параметром регулирования (используемый в расчете)</t>
  </si>
  <si>
    <t>Потери электрической энергии в сети</t>
  </si>
  <si>
    <t>Отпуск электрической энергии из сетей                         
(полезный отпуск)</t>
  </si>
  <si>
    <t>Нерегулируемая цена покупки потерь</t>
  </si>
  <si>
    <t>Стоимость покупной электрической энергии на компенсацию потерь</t>
  </si>
  <si>
    <t>В соответствии с п. 34 (1) Основ ценообразования экономия расходов на оплату потерь электрической энергии, полученная сетевой организацией при осуществлении деятельности по передаче электрической энергии в результате проведения мероприятий по сокращению объема используемых энергетических ресурсов, сохраняется в составе необходимой валовой выручки в течение 10 лет с начала периода регулирования, следующего за периодом, в котором указанная экономия была достигнута, при условии, что такие мероприятия не финансировались и не будут финансироваться за счет бюджетных средств.</t>
  </si>
  <si>
    <t>6.2.8. Расходы по обеспечению коммерческого учета э/э, не относящиеся к капитальным вложениям</t>
  </si>
  <si>
    <t>Таблица 37</t>
  </si>
  <si>
    <t>Итого расходы по обеспечению коммерческого учета э/э, не относящиеся к капитальным вложениям</t>
  </si>
  <si>
    <r>
      <t xml:space="preserve">В соответствии с пунктом </t>
    </r>
    <r>
      <rPr>
        <sz val="12"/>
        <color rgb="FFFF0000"/>
        <rFont val="PF Din Text Cond Pro Light"/>
        <charset val="204"/>
      </rPr>
      <t xml:space="preserve">34 (38) </t>
    </r>
    <r>
      <rPr>
        <sz val="12"/>
        <rFont val="PF Din Text Cond Pro Light"/>
        <charset val="204"/>
      </rPr>
      <t>Основ ценообразования в составе планируемых значений параметров расчета тарифов определяется величина расходов на выполнение предусмотренных пунктом 5 статьи 37 Федерального закона «Об электроэнергетике» обязанностей сетевой организации по обеспечению коммерческого учета электрической энергии (мощности), не относящихся к капитальным вложениям, до начала очередного долгосрочного периода регулирования.</t>
    </r>
  </si>
  <si>
    <t>Необходимо указать позицию регулятора в отношении методики определения расходов по 522-ФЗ</t>
  </si>
  <si>
    <t>6.2.9. Расходы на формирование резерва по сомнительным долгам</t>
  </si>
  <si>
    <t>Таблица 38</t>
  </si>
  <si>
    <t>Объем валовой выручки от оказания услуг по передаче электрической энергии</t>
  </si>
  <si>
    <t>Потребителям, у которых заключены договоры на оказание услуг по передаче э/э непосредственно с ТСО, за исключением ГП (ЭСО)</t>
  </si>
  <si>
    <t>Доля «прямых потребителей»</t>
  </si>
  <si>
    <t>Доля отчислений на формирование резерва по сомнительным долгам (п. 30 ППРФ 1178)</t>
  </si>
  <si>
    <t>В соответствии с пунктом 30 Основ ценообразования при расчете цен (тарифов) на услуги по передаче электрической энергии при определении необходимой валовой выручки территориальных сетевых организаций включаются внереализационные расходы, в том числе расходы на формирование резерва по сомнительным долгам, которые определяются в размере 1,5 процента валовой выручки от оказания услуг по передаче электрической энергии потребителям, у которых заключены договоры на оказание услуг по передаче электрической энергии непосредственно с территориальными сетевыми организациями, за исключением организаций, осуществляющих энергосбытовую деятельность, в том числе гарантирующих поставщиков.</t>
  </si>
  <si>
    <t>Необходимо указать позицию регулятора в отношении методики определения расходов на формирование резерва по сомнительным долгам</t>
  </si>
  <si>
    <t>6.2.10. Расчетная предпринимательская прибыль сетевой организации</t>
  </si>
  <si>
    <r>
      <t xml:space="preserve">В соответствии с пунктом </t>
    </r>
    <r>
      <rPr>
        <sz val="12"/>
        <color rgb="FFFF0000"/>
        <rFont val="PF Din Text Cond Pro Light"/>
        <charset val="204"/>
      </rPr>
      <t xml:space="preserve">34 (38) </t>
    </r>
    <r>
      <rPr>
        <sz val="12"/>
        <rFont val="PF Din Text Cond Pro Light"/>
        <charset val="204"/>
      </rPr>
      <t>Основ ценообразования расчетная предпринимательская прибыль сетевой организации, включаемая в необходимую валовую выручку сетевой организации, определяется в размере 5 процентов необходимой валовой выручки сетевой организации на очередной период регулирования с учетом расходов на оплату потерь на очередной период регулирования за вычетом расходов на оплату услуг по передаче электрической энергии, оказываемых прочими территориальными сетевыми организациями.</t>
    </r>
  </si>
  <si>
    <t>По заявлению сетевой организации расчетная предпринимательская прибыль сетевой организации может быть установлена на более низком уровне.</t>
  </si>
  <si>
    <t>При установлении тарифов на услуги по передаче электрической энергии расчетная предпринимательская прибыль сетевой организации не учитывается в необходимой валовой выручке для территориальной сетевой организации в случае, если:</t>
  </si>
  <si>
    <t>необходимая валовая выручка организации с учетом расходов на оплату потерь и оплату услуг других территориальных сетевых организаций за 3 последних периода регулирования не превысила 10 процентов суммарной необходимой валовой выручки территориальных сетевых организаций, учтенной при установлении единых (котловых) тарифов на услуги по передаче электрической энергии;</t>
  </si>
  <si>
    <t>организация является государственным или муниципальным унитарным предприятием.</t>
  </si>
  <si>
    <t>Расчет критерия учета в НВВ расчетной предпринимательской прибыли</t>
  </si>
  <si>
    <t>Таблица 39</t>
  </si>
  <si>
    <t>Необходимая валовая выручка организации с учетом расходов на оплату потерь и оплату услуг других территориальных сетевых организаций</t>
  </si>
  <si>
    <t>Необходимая валовая выручка территориальных сетевых организаций, учтенная при установлении единых (котловых) тарифов на услуги по передаче электрической энергии</t>
  </si>
  <si>
    <r>
      <t xml:space="preserve">Таким образом с учетом того, что сетевая организация </t>
    </r>
    <r>
      <rPr>
        <sz val="12"/>
        <color rgb="FFFF0000"/>
        <rFont val="PF Din Text Cond Pro Light"/>
        <charset val="204"/>
      </rPr>
      <t>является (не является)</t>
    </r>
    <r>
      <rPr>
        <sz val="12"/>
        <rFont val="PF Din Text Cond Pro Light"/>
        <charset val="204"/>
      </rPr>
      <t xml:space="preserve"> государственным или муниципальным унитарным предприятием, в состав НВВ </t>
    </r>
    <r>
      <rPr>
        <sz val="12"/>
        <color rgb="FFFF0000"/>
        <rFont val="PF Din Text Cond Pro Light"/>
        <charset val="204"/>
      </rPr>
      <t>включается (не включается)</t>
    </r>
    <r>
      <rPr>
        <sz val="12"/>
        <rFont val="PF Din Text Cond Pro Light"/>
        <charset val="204"/>
      </rPr>
      <t xml:space="preserve"> расчетная предпринимательская прибыль</t>
    </r>
  </si>
  <si>
    <t>Таблица 40</t>
  </si>
  <si>
    <t>Выручка с учетом расходов на оплату потерь за вычетом расходов на оплату услуг ТСО</t>
  </si>
  <si>
    <t>Размер РПП</t>
  </si>
  <si>
    <t>7. Балансы электрической энергии и мощности.</t>
  </si>
  <si>
    <t>При прогнозировании балансов электрической энергии и мощности, в границах балансовой принадлежности сетей, «Регулятор» руководствовался:</t>
  </si>
  <si>
    <t>Корректировка предложения «Организации» обусловлена:</t>
  </si>
  <si>
    <t>8. Сравнительный анализ динамики расходов и величины необходимой прибыли по отношению к предыдущему периоду регулирования. Анализ экономической обоснованности величины прибыли, необходимой для эффективного функционирования организаций, осуществляющих регулируемую деятельность.</t>
  </si>
  <si>
    <t>Сравнительный анализ динамики расходов и величины необходимой прибыли</t>
  </si>
  <si>
    <t>Таблица 41</t>
  </si>
  <si>
    <t>Показатели эффективности деятельности организации по виду деятельности передача электроэнергии</t>
  </si>
  <si>
    <t>Выручка</t>
  </si>
  <si>
    <t xml:space="preserve">Прибыль (убыток) от продаж </t>
  </si>
  <si>
    <t>Чистая прибыль (убыток)</t>
  </si>
  <si>
    <t>Рентабельность продаж  (величина прибыли от продаж в каждом рубле выручки)</t>
  </si>
  <si>
    <t>Необходимая валовая выручка (НВВ на собственное содержание)</t>
  </si>
  <si>
    <t>Расходы, связанные с производством и реализацией всего, в том числе:</t>
  </si>
  <si>
    <t>оплата труда</t>
  </si>
  <si>
    <t>ремонт основных фондов</t>
  </si>
  <si>
    <t>материальные затраты</t>
  </si>
  <si>
    <r>
      <t xml:space="preserve">Прогнозируемая величина чистой прибыли на 2023 год составит </t>
    </r>
    <r>
      <rPr>
        <sz val="12"/>
        <color rgb="FFFF0000"/>
        <rFont val="PF Din Text Cond Pro Light"/>
        <charset val="204"/>
      </rPr>
      <t>___</t>
    </r>
    <r>
      <rPr>
        <sz val="12"/>
        <rFont val="PF Din Text Cond Pro Light"/>
        <charset val="204"/>
      </rPr>
      <t xml:space="preserve"> тыс. руб. и будет направлена «Организацией» на </t>
    </r>
    <r>
      <rPr>
        <sz val="12"/>
        <color rgb="FFFF0000"/>
        <rFont val="PF Din Text Cond Pro Light"/>
        <charset val="204"/>
      </rPr>
      <t>___</t>
    </r>
    <r>
      <rPr>
        <sz val="12"/>
        <rFont val="PF Din Text Cond Pro Light"/>
        <charset val="204"/>
      </rPr>
      <t xml:space="preserve"> в соответствии с </t>
    </r>
    <r>
      <rPr>
        <sz val="12"/>
        <color rgb="FFFF0000"/>
        <rFont val="PF Din Text Cond Pro Light"/>
        <charset val="204"/>
      </rPr>
      <t>___</t>
    </r>
    <r>
      <rPr>
        <sz val="12"/>
        <rFont val="PF Din Text Cond Pro Light"/>
        <charset val="204"/>
      </rPr>
      <t>.</t>
    </r>
  </si>
  <si>
    <t>9. Анализ соответствия расчета цен (тарифов) и формы представления предложений нормативно-методическим документам по вопросам регулирования цен (тарифов) и (или) их предельных уровней.</t>
  </si>
  <si>
    <t>Анализ производится в том числе в отношении уточненного предложения по п. 12 Правил госрегулирования</t>
  </si>
  <si>
    <t>9.1. Анализ размещенного предложения о размере цен (тарифов).</t>
  </si>
  <si>
    <r>
      <t xml:space="preserve">В соответствии с пунктом 17 Стандартов раскрытия информации субъектами оптового и розничных рынков электрической энергии, утвержденных ППРФ24, предложение «Организации» о размере 
цен (тарифов), долгосрочных параметров регулирования, подлежащих регулированию в соответствии с Основами ценообразования </t>
    </r>
    <r>
      <rPr>
        <sz val="12"/>
        <color rgb="FFFF0000"/>
        <rFont val="PF Din Text Cond Pro Light"/>
        <charset val="204"/>
      </rPr>
      <t>опубликовано / не опубликовано</t>
    </r>
    <r>
      <rPr>
        <sz val="12"/>
        <rFont val="PF Din Text Cond Pro Light"/>
        <charset val="204"/>
      </rPr>
      <t xml:space="preserve"> в сети Интернет </t>
    </r>
    <r>
      <rPr>
        <sz val="12"/>
        <color rgb="FFFF0000"/>
        <rFont val="PF Din Text Cond Pro Light"/>
        <charset val="204"/>
      </rPr>
      <t>__.__.20__</t>
    </r>
    <r>
      <rPr>
        <sz val="12"/>
        <rFont val="PF Din Text Cond Pro Light"/>
        <charset val="204"/>
      </rPr>
      <t xml:space="preserve"> (ссылка: </t>
    </r>
    <r>
      <rPr>
        <sz val="12"/>
        <color rgb="FFFF0000"/>
        <rFont val="PF Din Text Cond Pro Light"/>
        <charset val="204"/>
      </rPr>
      <t>___</t>
    </r>
    <r>
      <rPr>
        <sz val="12"/>
        <rFont val="PF Din Text Cond Pro Light"/>
        <charset val="204"/>
      </rPr>
      <t xml:space="preserve">), что </t>
    </r>
    <r>
      <rPr>
        <sz val="12"/>
        <color rgb="FFFF0000"/>
        <rFont val="PF Din Text Cond Pro Light"/>
        <charset val="204"/>
      </rPr>
      <t>соответствует / не соответствует</t>
    </r>
    <r>
      <rPr>
        <sz val="12"/>
        <rFont val="PF Din Text Cond Pro Light"/>
        <charset val="204"/>
      </rPr>
      <t xml:space="preserve"> предъявляемому требованию к сроку раскрытия данной информации. </t>
    </r>
  </si>
  <si>
    <t>В случае направления уточненного предложения абаз дублируется</t>
  </si>
  <si>
    <t>Выявленные несоответствия (при наличии):</t>
  </si>
  <si>
    <t>Таблица 42</t>
  </si>
  <si>
    <t>Несоответствие</t>
  </si>
  <si>
    <t>Основание</t>
  </si>
  <si>
    <t>… .</t>
  </si>
  <si>
    <t>9.2. Результаты проверки соответствия заявления «Организации» опубликованному предложению.</t>
  </si>
  <si>
    <r>
      <t xml:space="preserve">Данные в заявлении «Организации» от </t>
    </r>
    <r>
      <rPr>
        <sz val="12"/>
        <color rgb="FFFF0000"/>
        <rFont val="PF Din Text Cond Pro Light"/>
        <charset val="204"/>
      </rPr>
      <t>__.__.20__</t>
    </r>
    <r>
      <rPr>
        <sz val="12"/>
        <rFont val="PF Din Text Cond Pro Light"/>
        <charset val="204"/>
      </rPr>
      <t xml:space="preserve"> г.  № </t>
    </r>
    <r>
      <rPr>
        <sz val="12"/>
        <color rgb="FFFF0000"/>
        <rFont val="PF Din Text Cond Pro Light"/>
        <charset val="204"/>
      </rPr>
      <t>___</t>
    </r>
    <r>
      <rPr>
        <sz val="12"/>
        <rFont val="PF Din Text Cond Pro Light"/>
        <charset val="204"/>
      </rPr>
      <t xml:space="preserve"> </t>
    </r>
    <r>
      <rPr>
        <sz val="12"/>
        <color rgb="FFFF0000"/>
        <rFont val="PF Din Text Cond Pro Light"/>
        <charset val="204"/>
      </rPr>
      <t>соответствует / не соответствует</t>
    </r>
    <r>
      <rPr>
        <sz val="12"/>
        <rFont val="PF Din Text Cond Pro Light"/>
        <charset val="204"/>
      </rPr>
      <t xml:space="preserve"> размещенному предложению.</t>
    </r>
  </si>
  <si>
    <t>Таблица 43</t>
  </si>
  <si>
    <t>9.3. Анализ соответствия расчета цен (тарифов) и формы представления предложений нормативно-методическим документам по вопросам регулирования цен (тарифов) и (или) их предельных уровней.</t>
  </si>
  <si>
    <r>
      <t xml:space="preserve">Представленные «Организацией» предложения и расчет тарифов </t>
    </r>
    <r>
      <rPr>
        <sz val="12"/>
        <color rgb="FFFF0000"/>
        <rFont val="PF Din Text Cond Pro Light"/>
        <charset val="204"/>
      </rPr>
      <t>соответствует / не соответствует</t>
    </r>
    <r>
      <rPr>
        <sz val="12"/>
        <rFont val="PF Din Text Cond Pro Light"/>
        <charset val="204"/>
      </rPr>
      <t xml:space="preserve"> предъявляемым требованиям. </t>
    </r>
  </si>
  <si>
    <t>Таблица 44</t>
  </si>
  <si>
    <t>10. Анализ соответствия организации критериям отнесения владельцев объектов электросетевого хозяйства к территориальным сетевым организациям.</t>
  </si>
  <si>
    <t>Результаты проведенного анализа соответствия «Организации» критериям отнесения владельцев объектов электросетевого хозяйства к территориальным сетевым организациям, утвержденным ППРФ184, представлены ниже.</t>
  </si>
  <si>
    <t>Анализ соответствия «Организации» критериям отнесения владельцев объектов электросетевого хозяйства к территориальным сетевым организациям</t>
  </si>
  <si>
    <t>Таблица 45</t>
  </si>
  <si>
    <t>Наименование критерия</t>
  </si>
  <si>
    <t>Соответствие критерию (да/нет)</t>
  </si>
  <si>
    <t>Владение на праве собственности и (или) на ином законном основании на срок не менее долгосрочного периода регулирования трансформаторными и иными подстанциями с установленными силовыми трансформаторами (автотрансформаторами), расположенными и используемыми для осуществления регулируемой деятельности в административных границах субъекта Российской Федерации, сумма номинальных мощностей которых составляет не менее 10 МВА</t>
  </si>
  <si>
    <t>Владение на праве собственности и (или) на ином законном основании на срок не менее долгосрочного периода регулирования линиями электропередачи (воздушными и (или) кабельными), расположенными и используемыми для осуществления регулируемой деятельности в административных границах субъекта Российской Федерации, непосредственно соединенными с трансформаторными и иными подстанциями, указанными в пункте 1 настоящих критериев, сумма протяженностей которых по трассе составляет не менее 15 км, не менее 2 из следующих проектных номинальных классов напряжения:</t>
  </si>
  <si>
    <t>110 кВ и выше</t>
  </si>
  <si>
    <t>35 кВ</t>
  </si>
  <si>
    <t>1 - 20 кВ</t>
  </si>
  <si>
    <t>ниже 1 кВ - трехфазных участков линий электропередачи</t>
  </si>
  <si>
    <t>Отсутствие за 3 предшествующих расчетных периода регулирования 3 фактов применения органами исполнительной власти субъектов Российской Федерации в области государственного регулирования тарифов понижающих коэффициентов, позволяющих обеспечить соответствие уровня тарифов, установленных для владельца объектов электросетевого хозяйства, уровню надежности и качества поставляемых товаров и оказываемых услуг, а также корректировки цен (тарифов), установленных на долгосрочный период регулирования, в случае представления владельцем объектов электросетевого хозяйства, для которого такие цены (тарифы) установлены, недостоверных отчетных данных, используемых при расчете фактических значений показателей надежности и качества поставляемых товаров и оказываемых услуг, или непредставления таких данных.</t>
  </si>
  <si>
    <t>Наличие выделенного абонентского номера для обращений потребителей услуг по передаче электрической энергии и (или) технологическому присоединению.</t>
  </si>
  <si>
    <t>Наличие официального сайта в информационно-телекоммуникационной сети «Интернет».</t>
  </si>
  <si>
    <t>Отсутствие во владении и (или) пользовании объектов электросетевого хозяйства, расположенных в административных границах субъекта Российской Федерации и используемых для осуществления регулируемой деятельности в указанных границах, принадлежащих на праве собственности или ином законном основании иному лицу, владеющему объектом по производству электрической энергии (мощности), который расположен в административных границах соответствующего субъекта Российской Федерации и с использованием которого осуществляется производство электрической энергии и мощности с целью ее продажи на оптовом рынке электрической энергии (мощности) и (или) розничных рынках электрической энергии.</t>
  </si>
  <si>
    <r>
      <t xml:space="preserve">По результатам проведенного анализа «Организация» </t>
    </r>
    <r>
      <rPr>
        <sz val="12"/>
        <color rgb="FFFF0000"/>
        <rFont val="PF Din Text Cond Pro Light"/>
        <charset val="204"/>
      </rPr>
      <t>соответствует / не соответствует</t>
    </r>
    <r>
      <rPr>
        <sz val="12"/>
        <rFont val="PF Din Text Cond Pro Light"/>
        <charset val="204"/>
      </rPr>
      <t xml:space="preserve"> критериям отнесения владельцев объектов электросетевого хозяйства к территориальным сетевым организациям.</t>
    </r>
  </si>
  <si>
    <t>На основе экспертизы технико-экономических показателей «Регулятор» рекомендует «Организации» следующее:</t>
  </si>
  <si>
    <t xml:space="preserve">Раздел 2. ТАРИФЫ НА УСЛУГИ ПО ПЕРЕДАЧЕ ЭЛЕКТРИЧЕСКОЙ ЭНЕРГИИ </t>
  </si>
  <si>
    <t>1. Индивидуальные тарифы на услуги по передаче электрической энергии.</t>
  </si>
  <si>
    <r>
      <t xml:space="preserve">Скорректированные долгосрочные тарифы на услуги по передаче электрической энергии (мощности), оказываемые «Организацией», на </t>
    </r>
    <r>
      <rPr>
        <sz val="12"/>
        <color rgb="FFFF0000"/>
        <rFont val="PF Din Text Cond Pro Light"/>
        <charset val="204"/>
      </rPr>
      <t>20__ - 20__ гг.</t>
    </r>
    <r>
      <rPr>
        <sz val="12"/>
        <rFont val="PF Din Text Cond Pro Light"/>
        <charset val="204"/>
      </rPr>
      <t xml:space="preserve"> рассчитаны в соответствии с Методическими указаниями № 20 в следующих размерах:</t>
    </r>
  </si>
  <si>
    <t>Таблица 46</t>
  </si>
  <si>
    <t>Наименование сетевых организаций, период действия тарифов</t>
  </si>
  <si>
    <t>Двухставочный тариф</t>
  </si>
  <si>
    <t>Односта-вочный тариф</t>
  </si>
  <si>
    <t>ставка за содержание электрических сетей</t>
  </si>
  <si>
    <t>ставка на оплату технологи-ческого расхода (потерь)</t>
  </si>
  <si>
    <t>«Организация» - «Наименование смежной сетевой организации»</t>
  </si>
  <si>
    <t>2. Единые (котловые) тарифы на услуги по передаче электрической энергии.</t>
  </si>
  <si>
    <t>Субъект РФ</t>
  </si>
  <si>
    <t>Метод тарифного регулирования</t>
  </si>
  <si>
    <t>Первый год тарифного регулирования</t>
  </si>
  <si>
    <t>Текущий долгосрочный период регулирования</t>
  </si>
  <si>
    <t>Год, на который подается тарифная заявка</t>
  </si>
  <si>
    <t>Адрес организации</t>
  </si>
  <si>
    <t>Юридический адрес</t>
  </si>
  <si>
    <t>Почтовый адрес</t>
  </si>
  <si>
    <t>Реквизиты заявления организации</t>
  </si>
  <si>
    <t>Дата исходящего</t>
  </si>
  <si>
    <t>Номер исходящего</t>
  </si>
  <si>
    <r>
      <t>«Организация» представила «Регулятору»</t>
    </r>
    <r>
      <rPr>
        <vertAlign val="superscript"/>
        <sz val="12"/>
        <rFont val="PF Din Text Cond Pro Light"/>
        <charset val="204"/>
      </rPr>
      <t>2</t>
    </r>
    <r>
      <rPr>
        <sz val="12"/>
        <rFont val="PF Din Text Cond Pro Light"/>
        <charset val="204"/>
      </rPr>
      <t xml:space="preserve"> заявление:</t>
    </r>
  </si>
  <si>
    <t>Экспертиза</t>
  </si>
  <si>
    <t>Дата приказа о назначении экспертизы</t>
  </si>
  <si>
    <t>Номер приказа о назначении экспертизы</t>
  </si>
  <si>
    <t>Эксперт № 1</t>
  </si>
  <si>
    <t>Эксперт № 2</t>
  </si>
  <si>
    <t>Эксперт № 3</t>
  </si>
  <si>
    <r>
      <t>12. Приказом Федеральной антимонопольной службы</t>
    </r>
    <r>
      <rPr>
        <sz val="12"/>
        <color rgb="FFFF0000"/>
        <rFont val="PF Din Text Cond Pro Light"/>
        <charset val="204"/>
      </rPr>
      <t xml:space="preserve"> от _____ № ___-ДСП</t>
    </r>
    <r>
      <rPr>
        <sz val="12"/>
        <rFont val="PF Din Text Cond Pro Light"/>
        <charset val="204"/>
      </rPr>
      <t xml:space="preserve"> «Об утверждении сводного прогнозного баланса производства и поставок электрической энергии (мощности) в рамках ЕЭС России на 202</t>
    </r>
    <r>
      <rPr>
        <sz val="12"/>
        <color rgb="FFFF0000"/>
        <rFont val="PF Din Text Cond Pro Light"/>
        <charset val="204"/>
      </rPr>
      <t>_</t>
    </r>
    <r>
      <rPr>
        <sz val="12"/>
        <rFont val="PF Din Text Cond Pro Light"/>
        <charset val="204"/>
      </rPr>
      <t xml:space="preserve"> год»;</t>
    </r>
  </si>
  <si>
    <t>При необходимости дополнить</t>
  </si>
  <si>
    <t>Анкета территориальной сетевой организации</t>
  </si>
  <si>
    <t>Для метода RAB</t>
  </si>
  <si>
    <t>Для метода ИНДЕКС</t>
  </si>
  <si>
    <t>Базовый уровень операционных расходов</t>
  </si>
  <si>
    <t>Индекс эффективности операционных расходов</t>
  </si>
  <si>
    <t>Коэффициент эластичности операционных расходов</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</si>
  <si>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</si>
  <si>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</si>
  <si>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t>
  </si>
  <si>
    <t>Дата приказа об утверждении ДПР</t>
  </si>
  <si>
    <t>Номер приказа об утверждении ДПР</t>
  </si>
  <si>
    <t>Операционные расходы</t>
  </si>
  <si>
    <t>Отпуск электрической энергии из сетей                         (полезный отпуск)</t>
  </si>
  <si>
    <t>средневзвешенная нерегулируемая цена на ОРЭМ</t>
  </si>
  <si>
    <t>сбытовая надбавка гарантирующего поставщика</t>
  </si>
  <si>
    <t>инфраструктурные платежи</t>
  </si>
  <si>
    <t>Информация о приобретаемых объемах потерь и цене в разбивке по гарантирующим поставщикам (энергосбытовым организациям):</t>
  </si>
  <si>
    <t>Гарантирующий поставщик (энергосбытовая, энергоснабжающая организация) или ВИЭ:___</t>
  </si>
  <si>
    <t>Расходы на оплату технологического расхода (потерь) 
электрической энергии при ее передаче по электрическим сетям</t>
  </si>
  <si>
    <t>Добавить ссылку на лист "27 (потери-факт)"</t>
  </si>
  <si>
    <r>
      <t>Индекс потребительских цен (ИПЦ) (</t>
    </r>
    <r>
      <rPr>
        <b/>
        <i/>
        <u/>
        <sz val="12"/>
        <color theme="1"/>
        <rFont val="PF Din Text Cond Pro Light"/>
        <charset val="204"/>
      </rPr>
      <t>ПЛАН</t>
    </r>
    <r>
      <rPr>
        <sz val="12"/>
        <color theme="1"/>
        <rFont val="PF Din Text Cond Pro Light"/>
        <charset val="204"/>
      </rPr>
      <t>)</t>
    </r>
  </si>
  <si>
    <r>
      <t>Индекс потребительских цен (ИПЦ) (</t>
    </r>
    <r>
      <rPr>
        <b/>
        <i/>
        <u/>
        <sz val="12"/>
        <color theme="1"/>
        <rFont val="PF Din Text Cond Pro Light"/>
        <charset val="204"/>
      </rPr>
      <t>ФАКТ</t>
    </r>
    <r>
      <rPr>
        <sz val="12"/>
        <color theme="1"/>
        <rFont val="PF Din Text Cond Pro Light"/>
        <charset val="204"/>
      </rPr>
      <t>)</t>
    </r>
  </si>
  <si>
    <r>
      <t>Источник публикации индекса потребительских цен (</t>
    </r>
    <r>
      <rPr>
        <b/>
        <i/>
        <u/>
        <sz val="12"/>
        <color theme="1"/>
        <rFont val="PF Din Text Cond Pro Light"/>
        <charset val="204"/>
      </rPr>
      <t>ПЛАН</t>
    </r>
    <r>
      <rPr>
        <sz val="12"/>
        <color theme="1"/>
        <rFont val="PF Din Text Cond Pro Light"/>
        <charset val="204"/>
      </rPr>
      <t>)</t>
    </r>
  </si>
  <si>
    <t>Индекс потребительских цен</t>
  </si>
  <si>
    <r>
      <t>Источник публикации индекса потребительских цен (</t>
    </r>
    <r>
      <rPr>
        <b/>
        <i/>
        <u/>
        <sz val="12"/>
        <color theme="1"/>
        <rFont val="PF Din Text Cond Pro Light"/>
        <charset val="204"/>
      </rPr>
      <t>ФАКТ</t>
    </r>
    <r>
      <rPr>
        <sz val="12"/>
        <color theme="1"/>
        <rFont val="PF Din Text Cond Pro Light"/>
        <charset val="204"/>
      </rPr>
      <t>)</t>
    </r>
  </si>
  <si>
    <t>Добавить ссылку на лист "уе ЛЭП"</t>
  </si>
  <si>
    <t>Добавить ссылку на лист "уе ПС"</t>
  </si>
  <si>
    <t>ПЛАН
(Предложение Организации)</t>
  </si>
  <si>
    <t>ПЛАН
(Согласовано Экспертами)</t>
  </si>
  <si>
    <t>ФАКТ
(Согласовано Экспертами)</t>
  </si>
  <si>
    <t>Обоснование «Регулятора» о внесенных в предложения «Организации» изменениях
(факт 2020)</t>
  </si>
  <si>
    <t>Обоснование «Регулятора» о внесенных в предложения «Организации» изменениях
(факт 2021)</t>
  </si>
  <si>
    <t>Обоснование «Регулятора» о внесенных в предложения «Организации» изменениях
(ожидание 2022)</t>
  </si>
  <si>
    <t>Обоснование «Регулятора» о внесенных в предложения «Организации» изменениях
(план 2023)</t>
  </si>
  <si>
    <t>Таблица 8</t>
  </si>
  <si>
    <t>10=9-8</t>
  </si>
  <si>
    <t>Номер группы инвестиционных проектов</t>
  </si>
  <si>
    <t>Идентификатор инвестиционного проекта</t>
  </si>
  <si>
    <t>Наименование инвестиционного проекта/мероприятия, предусмотренного инвестиционной программой</t>
  </si>
  <si>
    <t>План, без НДС</t>
  </si>
  <si>
    <t>Факт, без НДС</t>
  </si>
  <si>
    <t>Исполнение объектов с превышением факта над планом</t>
  </si>
  <si>
    <t>Принимаемый  факт</t>
  </si>
  <si>
    <t>ВСЕГО:</t>
  </si>
  <si>
    <t>Пообъектный анализ отчетов о ходе реализации инвестиционной программы</t>
  </si>
  <si>
    <t xml:space="preserve">Компенсация по отклонению фактического объема выручки от планового </t>
  </si>
  <si>
    <t>Компенсация операционных расходов, связанная с изменением фактического индекса инфляции и объема условных единиц, по отношению к учтенным при установлении тарифа значениям</t>
  </si>
  <si>
    <t>1.2.3.</t>
  </si>
  <si>
    <t>1.2.4.</t>
  </si>
  <si>
    <t>Корректировка НВВ по результатам отклонения уровня расходов на оплату потерь электрической энергии при ее передаче по электрическим сетям от установленного уровня в зависимости от изменения цены покупки электрической энергии в целях компенсации технологического расхода электрической энергии в соответствии с п. 25 МУ № 228-э</t>
  </si>
  <si>
    <r>
      <t>∆НВВ</t>
    </r>
    <r>
      <rPr>
        <b/>
        <i/>
        <vertAlign val="superscript"/>
        <sz val="8"/>
        <color theme="1"/>
        <rFont val="PF Din Text Cond Pro Light"/>
        <charset val="204"/>
      </rPr>
      <t>корр</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 xml:space="preserve"> с ИПЦ</t>
    </r>
  </si>
  <si>
    <r>
      <t xml:space="preserve">Компенсация выпадающих/излишне полученных доходов за </t>
    </r>
    <r>
      <rPr>
        <b/>
        <u/>
        <sz val="8"/>
        <color theme="1"/>
        <rFont val="PF Din Text Cond Pro Light"/>
        <charset val="204"/>
      </rPr>
      <t>2021</t>
    </r>
    <r>
      <rPr>
        <b/>
        <sz val="8"/>
        <color theme="1"/>
        <rFont val="PF Din Text Cond Pro Light"/>
        <charset val="204"/>
      </rPr>
      <t xml:space="preserve"> год, возникающих в результате отличия фактических значений параметров регулирования от установленных при утверждении тарифов с учетом индексов ИПЦ</t>
    </r>
  </si>
  <si>
    <r>
      <t>∆НВВ</t>
    </r>
    <r>
      <rPr>
        <b/>
        <i/>
        <vertAlign val="superscript"/>
        <sz val="8"/>
        <color theme="1"/>
        <rFont val="PF Din Text Cond Pro Light"/>
        <charset val="204"/>
      </rPr>
      <t>корр</t>
    </r>
    <r>
      <rPr>
        <b/>
        <sz val="8"/>
        <color theme="1"/>
        <rFont val="PF Din Text Cond Pro Light"/>
        <charset val="204"/>
      </rPr>
      <t xml:space="preserve"> </t>
    </r>
    <r>
      <rPr>
        <b/>
        <u/>
        <vertAlign val="subscript"/>
        <sz val="8"/>
        <color theme="1"/>
        <rFont val="PF Din Text Cond Pro Light"/>
        <charset val="204"/>
      </rPr>
      <t>2021</t>
    </r>
  </si>
  <si>
    <r>
      <t xml:space="preserve">Компенсация выпадающих/излишне полученных доходов за 12 месяцев </t>
    </r>
    <r>
      <rPr>
        <b/>
        <u/>
        <sz val="8"/>
        <color theme="1"/>
        <rFont val="PF Din Text Cond Pro Light"/>
        <charset val="204"/>
      </rPr>
      <t>2021</t>
    </r>
    <r>
      <rPr>
        <b/>
        <sz val="8"/>
        <color theme="1"/>
        <rFont val="PF Din Text Cond Pro Light"/>
        <charset val="204"/>
      </rPr>
      <t xml:space="preserve"> года, в том числе:</t>
    </r>
  </si>
  <si>
    <r>
      <t>∆НВВ</t>
    </r>
    <r>
      <rPr>
        <i/>
        <vertAlign val="superscript"/>
        <sz val="8"/>
        <color theme="1"/>
        <rFont val="PF Din Text Cond Pro Light"/>
        <charset val="204"/>
      </rPr>
      <t>сод</t>
    </r>
    <r>
      <rPr>
        <sz val="8"/>
        <color theme="1"/>
        <rFont val="PF Din Text Cond Pro Light"/>
        <charset val="204"/>
      </rPr>
      <t xml:space="preserve"> </t>
    </r>
    <r>
      <rPr>
        <u/>
        <vertAlign val="subscript"/>
        <sz val="8"/>
        <color theme="1"/>
        <rFont val="PF Din Text Cond Pro Light"/>
        <charset val="204"/>
      </rPr>
      <t>2021</t>
    </r>
  </si>
  <si>
    <r>
      <t xml:space="preserve">∆ОР </t>
    </r>
    <r>
      <rPr>
        <u/>
        <vertAlign val="subscript"/>
        <sz val="8"/>
        <color theme="1"/>
        <rFont val="PF Din Text Cond Pro Light"/>
        <charset val="204"/>
      </rPr>
      <t>2021</t>
    </r>
  </si>
  <si>
    <r>
      <t xml:space="preserve">∆НР </t>
    </r>
    <r>
      <rPr>
        <u/>
        <vertAlign val="subscript"/>
        <sz val="8"/>
        <color theme="1"/>
        <rFont val="PF Din Text Cond Pro Light"/>
        <charset val="204"/>
      </rPr>
      <t>2021</t>
    </r>
  </si>
  <si>
    <r>
      <t xml:space="preserve">Компенсация фактически понесенных в  </t>
    </r>
    <r>
      <rPr>
        <u/>
        <sz val="8"/>
        <color theme="1"/>
        <rFont val="PF Din Text Cond Pro Light"/>
        <charset val="204"/>
      </rPr>
      <t>2021</t>
    </r>
    <r>
      <rPr>
        <sz val="8"/>
        <color theme="1"/>
        <rFont val="PF Din Text Cond Pro Light"/>
        <charset val="204"/>
      </rPr>
      <t xml:space="preserve"> году неподконтрольных расходов, не учтенных при установлении тарифов на </t>
    </r>
    <r>
      <rPr>
        <u/>
        <sz val="8"/>
        <color theme="1"/>
        <rFont val="PF Din Text Cond Pro Light"/>
        <charset val="204"/>
      </rPr>
      <t>2021</t>
    </r>
    <r>
      <rPr>
        <sz val="8"/>
        <color theme="1"/>
        <rFont val="PF Din Text Cond Pro Light"/>
        <charset val="204"/>
      </rPr>
      <t xml:space="preserve"> год</t>
    </r>
  </si>
  <si>
    <r>
      <t>∆Корр</t>
    </r>
    <r>
      <rPr>
        <i/>
        <vertAlign val="superscript"/>
        <sz val="8"/>
        <color theme="1"/>
        <rFont val="PF Din Text Cond Pro Light"/>
        <charset val="204"/>
      </rPr>
      <t>ЦП</t>
    </r>
    <r>
      <rPr>
        <sz val="8"/>
        <color theme="1"/>
        <rFont val="PF Din Text Cond Pro Light"/>
        <charset val="204"/>
      </rPr>
      <t xml:space="preserve"> </t>
    </r>
    <r>
      <rPr>
        <u/>
        <vertAlign val="subscript"/>
        <sz val="8"/>
        <color theme="1"/>
        <rFont val="PF Din Text Cond Pro Light"/>
        <charset val="204"/>
      </rPr>
      <t>2021</t>
    </r>
  </si>
  <si>
    <r>
      <t xml:space="preserve"> ∆НВВ</t>
    </r>
    <r>
      <rPr>
        <b/>
        <i/>
        <vertAlign val="superscript"/>
        <sz val="8"/>
        <color theme="1"/>
        <rFont val="PF Din Text Cond Pro Light"/>
        <charset val="204"/>
      </rPr>
      <t>корр ИП</t>
    </r>
    <r>
      <rPr>
        <b/>
        <sz val="8"/>
        <color theme="1"/>
        <rFont val="PF Din Text Cond Pro Light"/>
        <charset val="204"/>
      </rPr>
      <t xml:space="preserve"> </t>
    </r>
    <r>
      <rPr>
        <b/>
        <u/>
        <vertAlign val="subscript"/>
        <sz val="8"/>
        <color theme="1"/>
        <rFont val="PF Din Text Cond Pro Light"/>
        <charset val="204"/>
      </rPr>
      <t>2023</t>
    </r>
  </si>
  <si>
    <r>
      <t xml:space="preserve">Корректировка НВВ на </t>
    </r>
    <r>
      <rPr>
        <b/>
        <u/>
        <sz val="8"/>
        <color theme="1"/>
        <rFont val="PF Din Text Cond Pro Light"/>
        <charset val="204"/>
      </rPr>
      <t>2023</t>
    </r>
    <r>
      <rPr>
        <b/>
        <sz val="8"/>
        <color theme="1"/>
        <rFont val="PF Din Text Cond Pro Light"/>
        <charset val="204"/>
      </rPr>
      <t xml:space="preserve"> год долгосрочного периода регулирования, осуществляемая в связи с изменением (неисполнением) инвестиционной программы за </t>
    </r>
    <r>
      <rPr>
        <b/>
        <u/>
        <sz val="8"/>
        <color theme="1"/>
        <rFont val="PF Din Text Cond Pro Light"/>
        <charset val="204"/>
      </rPr>
      <t>2021</t>
    </r>
    <r>
      <rPr>
        <b/>
        <sz val="8"/>
        <color theme="1"/>
        <rFont val="PF Din Text Cond Pro Light"/>
        <charset val="204"/>
      </rPr>
      <t xml:space="preserve"> год</t>
    </r>
  </si>
  <si>
    <r>
      <t xml:space="preserve">Дополнительные доходы, полученные по факту </t>
    </r>
    <r>
      <rPr>
        <b/>
        <u/>
        <sz val="8"/>
        <color theme="1"/>
        <rFont val="PF Din Text Cond Pro Light"/>
        <charset val="204"/>
      </rPr>
      <t xml:space="preserve">2021 </t>
    </r>
    <r>
      <rPr>
        <b/>
        <sz val="8"/>
        <color theme="1"/>
        <rFont val="PF Din Text Cond Pro Light"/>
        <charset val="204"/>
      </rPr>
      <t>года вследствие взыскания стоимости выявленного  бездоговорного  потребления электроэнергии</t>
    </r>
  </si>
  <si>
    <r>
      <t xml:space="preserve">ΔУ </t>
    </r>
    <r>
      <rPr>
        <b/>
        <u/>
        <vertAlign val="subscript"/>
        <sz val="8"/>
        <color theme="1"/>
        <rFont val="PF Din Text Cond Pro Light"/>
        <charset val="204"/>
      </rPr>
      <t>2023</t>
    </r>
  </si>
  <si>
    <r>
      <t xml:space="preserve">Компенсация фактических расходов в </t>
    </r>
    <r>
      <rPr>
        <b/>
        <u/>
        <sz val="8"/>
        <color theme="1"/>
        <rFont val="PF Din Text Cond Pro Light"/>
        <charset val="204"/>
      </rPr>
      <t>2021</t>
    </r>
    <r>
      <rPr>
        <b/>
        <sz val="8"/>
        <color theme="1"/>
        <rFont val="PF Din Text Cond Pro Light"/>
        <charset val="204"/>
      </rPr>
      <t xml:space="preserve"> году на выполнение обязанностей по обеспечению коммерческого учета электрической энергии (мощности), не относящиеся к капитальным вложениям</t>
    </r>
  </si>
  <si>
    <r>
      <t xml:space="preserve">ИТОГО Корректировка НВВ на </t>
    </r>
    <r>
      <rPr>
        <b/>
        <u/>
        <sz val="8"/>
        <color theme="1"/>
        <rFont val="PF Din Text Cond Pro Light"/>
        <charset val="204"/>
      </rPr>
      <t>2023</t>
    </r>
    <r>
      <rPr>
        <b/>
        <sz val="8"/>
        <color theme="1"/>
        <rFont val="PF Din Text Cond Pro Light"/>
        <charset val="204"/>
      </rPr>
      <t xml:space="preserve"> год долгосрочного периода регулирования (п.1. + п.2. - п.3. + п.4. - п.5. + п.6.)</t>
    </r>
  </si>
  <si>
    <t>6.2.5.3.1.  Компенсация операционных расходов, связанная с изменением фактического индекса инфляции и объема условных единиц, по отношению к учтенным при установлении тарифа значениям</t>
  </si>
  <si>
    <t>Обозн.</t>
  </si>
  <si>
    <t>Компенсация операционных расходов, связанная с изменением фактического индекса инфляции и объема условных единиц, по отношению к учтенным при установлении тарифа значениям (без учета ИПЦ)</t>
  </si>
  <si>
    <t> - </t>
  </si>
  <si>
    <t>Коэффициент эластичности операционных расходов по количеству активов</t>
  </si>
  <si>
    <t xml:space="preserve">Индекс изменения количества активов                                                                                        </t>
  </si>
  <si>
    <t>8.1.</t>
  </si>
  <si>
    <t>8.2.</t>
  </si>
  <si>
    <t>Компенсация операционных расходов</t>
  </si>
  <si>
    <r>
      <t xml:space="preserve">∆ОР </t>
    </r>
    <r>
      <rPr>
        <b/>
        <u/>
        <vertAlign val="subscript"/>
        <sz val="8"/>
        <color theme="1"/>
        <rFont val="PF Din Text Cond Pro Light"/>
        <charset val="204"/>
      </rPr>
      <t>2021</t>
    </r>
  </si>
  <si>
    <r>
      <t xml:space="preserve"> ∆ОР </t>
    </r>
    <r>
      <rPr>
        <b/>
        <u/>
        <vertAlign val="subscript"/>
        <sz val="8"/>
        <color theme="1"/>
        <rFont val="PF Din Text Cond Pro Light"/>
        <charset val="204"/>
      </rPr>
      <t>2021</t>
    </r>
    <r>
      <rPr>
        <b/>
        <sz val="8"/>
        <color theme="1"/>
        <rFont val="PF Din Text Cond Pro Light"/>
        <charset val="204"/>
      </rPr>
      <t xml:space="preserve"> = ∆ОР</t>
    </r>
    <r>
      <rPr>
        <b/>
        <i/>
        <vertAlign val="superscript"/>
        <sz val="8"/>
        <color theme="1"/>
        <rFont val="PF Din Text Cond Pro Light"/>
        <charset val="204"/>
      </rPr>
      <t>ск</t>
    </r>
    <r>
      <rPr>
        <b/>
        <sz val="8"/>
        <color theme="1"/>
        <rFont val="PF Din Text Cond Pro Light"/>
        <charset val="204"/>
      </rPr>
      <t xml:space="preserve"> </t>
    </r>
    <r>
      <rPr>
        <b/>
        <u/>
        <vertAlign val="subscript"/>
        <sz val="8"/>
        <color theme="1"/>
        <rFont val="PF Din Text Cond Pro Light"/>
        <charset val="204"/>
      </rPr>
      <t>2020</t>
    </r>
    <r>
      <rPr>
        <b/>
        <vertAlign val="subscript"/>
        <sz val="8"/>
        <color theme="1"/>
        <rFont val="PF Din Text Cond Pro Light"/>
        <charset val="204"/>
      </rPr>
      <t xml:space="preserve"> </t>
    </r>
    <r>
      <rPr>
        <b/>
        <sz val="8"/>
        <color theme="1"/>
        <rFont val="PF Din Text Cond Pro Light"/>
        <charset val="204"/>
      </rPr>
      <t>х (Кинд</t>
    </r>
    <r>
      <rPr>
        <b/>
        <i/>
        <vertAlign val="superscript"/>
        <sz val="8"/>
        <color theme="1"/>
        <rFont val="PF Din Text Cond Pro Light"/>
        <charset val="204"/>
      </rPr>
      <t>ф</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 xml:space="preserve"> - Кинд</t>
    </r>
    <r>
      <rPr>
        <b/>
        <i/>
        <vertAlign val="superscript"/>
        <sz val="8"/>
        <color theme="1"/>
        <rFont val="PF Din Text Cond Pro Light"/>
        <charset val="204"/>
      </rPr>
      <t>ск</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t>
    </r>
  </si>
  <si>
    <r>
      <t>∆ОР</t>
    </r>
    <r>
      <rPr>
        <i/>
        <vertAlign val="superscript"/>
        <sz val="8"/>
        <color theme="1"/>
        <rFont val="PF Din Text Cond Pro Light"/>
        <charset val="204"/>
      </rPr>
      <t>ск</t>
    </r>
    <r>
      <rPr>
        <sz val="8"/>
        <color theme="1"/>
        <rFont val="PF Din Text Cond Pro Light"/>
        <charset val="204"/>
      </rPr>
      <t xml:space="preserve"> </t>
    </r>
    <r>
      <rPr>
        <u/>
        <vertAlign val="subscript"/>
        <sz val="8"/>
        <color theme="1"/>
        <rFont val="PF Din Text Cond Pro Light"/>
        <charset val="204"/>
      </rPr>
      <t>2020</t>
    </r>
  </si>
  <si>
    <r>
      <t xml:space="preserve">Величина операционных расходов, учтенная при корректировке НВВ (тарифов) на </t>
    </r>
    <r>
      <rPr>
        <u/>
        <sz val="8"/>
        <color theme="1"/>
        <rFont val="PF Din Text Cond Pro Light"/>
        <charset val="204"/>
      </rPr>
      <t>2020</t>
    </r>
    <r>
      <rPr>
        <sz val="8"/>
        <color theme="1"/>
        <rFont val="PF Din Text Cond Pro Light"/>
        <charset val="204"/>
      </rPr>
      <t xml:space="preserve"> год</t>
    </r>
  </si>
  <si>
    <r>
      <t>Кинд</t>
    </r>
    <r>
      <rPr>
        <i/>
        <vertAlign val="superscript"/>
        <sz val="8"/>
        <color theme="1"/>
        <rFont val="PF Din Text Cond Pro Light"/>
        <charset val="204"/>
      </rPr>
      <t>ск</t>
    </r>
    <r>
      <rPr>
        <sz val="8"/>
        <color theme="1"/>
        <rFont val="PF Din Text Cond Pro Light"/>
        <charset val="204"/>
      </rPr>
      <t xml:space="preserve"> </t>
    </r>
    <r>
      <rPr>
        <u/>
        <vertAlign val="subscript"/>
        <sz val="8"/>
        <color theme="1"/>
        <rFont val="PF Din Text Cond Pro Light"/>
        <charset val="204"/>
      </rPr>
      <t>2021</t>
    </r>
  </si>
  <si>
    <r>
      <t xml:space="preserve">Коэффициент индексации, учтенный при корректировке тарифов на </t>
    </r>
    <r>
      <rPr>
        <u/>
        <sz val="8"/>
        <color theme="1"/>
        <rFont val="PF Din Text Cond Pro Light"/>
        <charset val="204"/>
      </rPr>
      <t>2021</t>
    </r>
    <r>
      <rPr>
        <sz val="8"/>
        <color theme="1"/>
        <rFont val="PF Din Text Cond Pro Light"/>
        <charset val="204"/>
      </rPr>
      <t xml:space="preserve"> год </t>
    </r>
  </si>
  <si>
    <r>
      <t>Кинд</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</si>
  <si>
    <r>
      <t xml:space="preserve">Коэффициент индексации операционных расходов, определяемый в соответствии с фактическими значениями индекса инфляции и объема условных единиц на </t>
    </r>
    <r>
      <rPr>
        <u/>
        <sz val="8"/>
        <color theme="1"/>
        <rFont val="PF Din Text Cond Pro Light"/>
        <charset val="204"/>
      </rPr>
      <t>2021</t>
    </r>
    <r>
      <rPr>
        <sz val="8"/>
        <color theme="1"/>
        <rFont val="PF Din Text Cond Pro Light"/>
        <charset val="204"/>
      </rPr>
      <t xml:space="preserve"> год                                                                                            </t>
    </r>
  </si>
  <si>
    <r>
      <t>Кинд</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r>
      <rPr>
        <sz val="8"/>
        <color theme="1"/>
        <rFont val="PF Din Text Cond Pro Light"/>
        <charset val="204"/>
      </rPr>
      <t xml:space="preserve"> = (1 - ИР </t>
    </r>
    <r>
      <rPr>
        <u/>
        <vertAlign val="subscript"/>
        <sz val="8"/>
        <color theme="1"/>
        <rFont val="PF Din Text Cond Pro Light"/>
        <charset val="204"/>
      </rPr>
      <t>2021</t>
    </r>
    <r>
      <rPr>
        <sz val="8"/>
        <color theme="1"/>
        <rFont val="PF Din Text Cond Pro Light"/>
        <charset val="204"/>
      </rPr>
      <t>) х (1 + ИПЦ</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r>
      <rPr>
        <sz val="8"/>
        <color theme="1"/>
        <rFont val="PF Din Text Cond Pro Light"/>
        <charset val="204"/>
      </rPr>
      <t>) х (1 + К</t>
    </r>
    <r>
      <rPr>
        <vertAlign val="subscript"/>
        <sz val="8"/>
        <color theme="1"/>
        <rFont val="PF Din Text Cond Pro Light"/>
        <charset val="204"/>
      </rPr>
      <t>эл</t>
    </r>
    <r>
      <rPr>
        <sz val="8"/>
        <color theme="1"/>
        <rFont val="PF Din Text Cond Pro Light"/>
        <charset val="204"/>
      </rPr>
      <t xml:space="preserve"> х ИКА</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r>
      <rPr>
        <sz val="8"/>
        <color theme="1"/>
        <rFont val="PF Din Text Cond Pro Light"/>
        <charset val="204"/>
      </rPr>
      <t>)</t>
    </r>
  </si>
  <si>
    <r>
      <t xml:space="preserve">ИР </t>
    </r>
    <r>
      <rPr>
        <u/>
        <vertAlign val="subscript"/>
        <sz val="8"/>
        <color theme="1"/>
        <rFont val="PF Din Text Cond Pro Light"/>
        <charset val="204"/>
      </rPr>
      <t>2021</t>
    </r>
  </si>
  <si>
    <r>
      <t xml:space="preserve">Индекс эффективности операционных расходов, установленный в процентах на </t>
    </r>
    <r>
      <rPr>
        <u/>
        <sz val="8"/>
        <color theme="1"/>
        <rFont val="PF Din Text Cond Pro Light"/>
        <charset val="204"/>
      </rPr>
      <t>2021</t>
    </r>
    <r>
      <rPr>
        <sz val="8"/>
        <color theme="1"/>
        <rFont val="PF Din Text Cond Pro Light"/>
        <charset val="204"/>
      </rPr>
      <t xml:space="preserve"> год </t>
    </r>
  </si>
  <si>
    <r>
      <t xml:space="preserve">Фактическое значение индекса потребительских цен в </t>
    </r>
    <r>
      <rPr>
        <u/>
        <sz val="8"/>
        <color theme="1"/>
        <rFont val="PF Din Text Cond Pro Light"/>
        <charset val="204"/>
      </rPr>
      <t>2021</t>
    </r>
    <r>
      <rPr>
        <sz val="8"/>
        <color theme="1"/>
        <rFont val="PF Din Text Cond Pro Light"/>
        <charset val="204"/>
      </rPr>
      <t xml:space="preserve"> году </t>
    </r>
  </si>
  <si>
    <r>
      <t>ИКА</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r>
      <rPr>
        <sz val="8"/>
        <color theme="1"/>
        <rFont val="PF Din Text Cond Pro Light"/>
        <charset val="204"/>
      </rPr>
      <t xml:space="preserve"> = (УЕ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r>
      <rPr>
        <vertAlign val="subscript"/>
        <sz val="8"/>
        <color theme="1"/>
        <rFont val="PF Din Text Cond Pro Light"/>
        <charset val="204"/>
      </rPr>
      <t xml:space="preserve"> </t>
    </r>
    <r>
      <rPr>
        <sz val="8"/>
        <color theme="1"/>
        <rFont val="PF Din Text Cond Pro Light"/>
        <charset val="204"/>
      </rPr>
      <t>- 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2020</t>
    </r>
    <r>
      <rPr>
        <sz val="8"/>
        <color theme="1"/>
        <rFont val="PF Din Text Cond Pro Light"/>
        <charset val="204"/>
      </rPr>
      <t>) / 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2020</t>
    </r>
  </si>
  <si>
    <r>
      <t xml:space="preserve">Фактический объем условных единиц, относящихся к активам, необходимым для осуществления регулируемой деятельности в </t>
    </r>
    <r>
      <rPr>
        <u/>
        <sz val="8"/>
        <color theme="1"/>
        <rFont val="PF Din Text Cond Pro Light"/>
        <charset val="204"/>
      </rPr>
      <t>2021</t>
    </r>
    <r>
      <rPr>
        <sz val="8"/>
        <color theme="1"/>
        <rFont val="PF Din Text Cond Pro Light"/>
        <charset val="204"/>
      </rPr>
      <t xml:space="preserve"> году</t>
    </r>
  </si>
  <si>
    <r>
      <t xml:space="preserve">Фактический объем условных единиц, относящихся к активам, необходимым для осуществления регулируемой деятельности в </t>
    </r>
    <r>
      <rPr>
        <u/>
        <sz val="8"/>
        <color theme="1"/>
        <rFont val="PF Din Text Cond Pro Light"/>
        <charset val="204"/>
      </rPr>
      <t>2020</t>
    </r>
    <r>
      <rPr>
        <sz val="8"/>
        <color theme="1"/>
        <rFont val="PF Din Text Cond Pro Light"/>
        <charset val="204"/>
      </rPr>
      <t xml:space="preserve"> году </t>
    </r>
  </si>
  <si>
    <t>1.7.1.</t>
  </si>
  <si>
    <t>1.7.2.</t>
  </si>
  <si>
    <t>1.7.3.</t>
  </si>
  <si>
    <t xml:space="preserve">6.2.5.3.3. Компенсация по отклонению фактического объема выручки от планового </t>
  </si>
  <si>
    <t>Компенсация по отклонению фактического объема выручки от планового</t>
  </si>
  <si>
    <t>Компенсация выпадающих/излишне полученных доходов, связанная с отклонением величины товарной выручки (без учета ИПЦ)</t>
  </si>
  <si>
    <r>
      <t>∆НВВ</t>
    </r>
    <r>
      <rPr>
        <b/>
        <i/>
        <vertAlign val="superscript"/>
        <sz val="8"/>
        <color theme="1"/>
        <rFont val="PF Din Text Cond Pro Light"/>
        <charset val="204"/>
      </rPr>
      <t>сод</t>
    </r>
    <r>
      <rPr>
        <b/>
        <sz val="8"/>
        <color theme="1"/>
        <rFont val="PF Din Text Cond Pro Light"/>
        <charset val="204"/>
      </rPr>
      <t xml:space="preserve"> </t>
    </r>
    <r>
      <rPr>
        <b/>
        <u/>
        <vertAlign val="subscript"/>
        <sz val="8"/>
        <color theme="1"/>
        <rFont val="PF Din Text Cond Pro Light"/>
        <charset val="204"/>
      </rPr>
      <t>2021</t>
    </r>
  </si>
  <si>
    <r>
      <t>∆НВВ</t>
    </r>
    <r>
      <rPr>
        <b/>
        <i/>
        <vertAlign val="superscript"/>
        <sz val="8"/>
        <color theme="1"/>
        <rFont val="PF Din Text Cond Pro Light"/>
        <charset val="204"/>
      </rPr>
      <t>сод</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 xml:space="preserve"> = НВВ</t>
    </r>
    <r>
      <rPr>
        <b/>
        <i/>
        <vertAlign val="superscript"/>
        <sz val="8"/>
        <color theme="1"/>
        <rFont val="PF Din Text Cond Pro Light"/>
        <charset val="204"/>
      </rPr>
      <t>ск</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 xml:space="preserve"> - НВВ</t>
    </r>
    <r>
      <rPr>
        <b/>
        <i/>
        <vertAlign val="superscript"/>
        <sz val="8"/>
        <color theme="1"/>
        <rFont val="PF Din Text Cond Pro Light"/>
        <charset val="204"/>
      </rPr>
      <t>ф</t>
    </r>
    <r>
      <rPr>
        <b/>
        <sz val="8"/>
        <color theme="1"/>
        <rFont val="PF Din Text Cond Pro Light"/>
        <charset val="204"/>
      </rPr>
      <t xml:space="preserve"> </t>
    </r>
    <r>
      <rPr>
        <b/>
        <u/>
        <vertAlign val="subscript"/>
        <sz val="8"/>
        <color theme="1"/>
        <rFont val="PF Din Text Cond Pro Light"/>
        <charset val="204"/>
      </rPr>
      <t>2021</t>
    </r>
  </si>
  <si>
    <r>
      <t>НВВ</t>
    </r>
    <r>
      <rPr>
        <i/>
        <vertAlign val="superscript"/>
        <sz val="8"/>
        <color theme="1"/>
        <rFont val="PF Din Text Cond Pro Light"/>
        <charset val="204"/>
      </rPr>
      <t>ск</t>
    </r>
    <r>
      <rPr>
        <sz val="8"/>
        <color theme="1"/>
        <rFont val="PF Din Text Cond Pro Light"/>
        <charset val="204"/>
      </rPr>
      <t xml:space="preserve"> </t>
    </r>
    <r>
      <rPr>
        <u/>
        <vertAlign val="subscript"/>
        <sz val="8"/>
        <color theme="1"/>
        <rFont val="PF Din Text Cond Pro Light"/>
        <charset val="204"/>
      </rPr>
      <t>2021</t>
    </r>
  </si>
  <si>
    <r>
      <t xml:space="preserve">Скорректированная НВВ, установленная регулирующим органом на </t>
    </r>
    <r>
      <rPr>
        <u/>
        <sz val="8"/>
        <color theme="1"/>
        <rFont val="PF Din Text Cond Pro Light"/>
        <charset val="204"/>
      </rPr>
      <t>2021</t>
    </r>
    <r>
      <rPr>
        <sz val="8"/>
        <color theme="1"/>
        <rFont val="PF Din Text Cond Pro Light"/>
        <charset val="204"/>
      </rPr>
      <t xml:space="preserve"> год долгосрочного периода регулирования (в части содержания электрических сетей) </t>
    </r>
  </si>
  <si>
    <t>Компенсация фактически понесенных неподконтрольных расходов</t>
  </si>
  <si>
    <t>6.2.5.3.4. Корректировка НВВ по результатам отклонения уровня расходов на оплату потерь электрической энергии при ее передаче по электрическим сетям от установленного уровня в зависимости от изменения цены покупки электрической энергии в целях компенсации технологического расхода электрической энергии в соответствии с п. 25 МУ № 228-э</t>
  </si>
  <si>
    <t xml:space="preserve">Корректировка НВВ по результатам отклонения уровня расходов на оплату потерь электрической энергии при ее передаче по электрическим сетям от установленного уровня в зависимости от изменения цены покупки электрической энергии в целях компенсации технологического расхода электрической энергии в соответствии с п. 25 МУ № 228-э (без учета ИПЦ)               </t>
  </si>
  <si>
    <r>
      <t>∆Корр</t>
    </r>
    <r>
      <rPr>
        <b/>
        <i/>
        <vertAlign val="superscript"/>
        <sz val="8"/>
        <color theme="1"/>
        <rFont val="PF Din Text Cond Pro Light"/>
        <charset val="204"/>
      </rPr>
      <t>ЦП</t>
    </r>
    <r>
      <rPr>
        <b/>
        <sz val="8"/>
        <color theme="1"/>
        <rFont val="PF Din Text Cond Pro Light"/>
        <charset val="204"/>
      </rPr>
      <t xml:space="preserve"> </t>
    </r>
    <r>
      <rPr>
        <b/>
        <u/>
        <vertAlign val="subscript"/>
        <sz val="8"/>
        <color theme="1"/>
        <rFont val="PF Din Text Cond Pro Light"/>
        <charset val="204"/>
      </rPr>
      <t>2021</t>
    </r>
  </si>
  <si>
    <r>
      <t xml:space="preserve">ΔКорр </t>
    </r>
    <r>
      <rPr>
        <b/>
        <vertAlign val="superscript"/>
        <sz val="8"/>
        <color rgb="FF000000"/>
        <rFont val="PF Din Text Cond Pro Light"/>
        <charset val="204"/>
      </rPr>
      <t>ЦП</t>
    </r>
    <r>
      <rPr>
        <b/>
        <sz val="8"/>
        <color rgb="FF000000"/>
        <rFont val="PF Din Text Cond Pro Light"/>
        <charset val="204"/>
      </rPr>
      <t xml:space="preserve"> </t>
    </r>
    <r>
      <rPr>
        <b/>
        <u/>
        <vertAlign val="subscript"/>
        <sz val="8"/>
        <color rgb="FF000000"/>
        <rFont val="PF Din Text Cond Pro Light"/>
        <charset val="204"/>
      </rPr>
      <t>2021</t>
    </r>
    <r>
      <rPr>
        <b/>
        <sz val="8"/>
        <color rgb="FF000000"/>
        <rFont val="PF Din Text Cond Pro Light"/>
        <charset val="204"/>
      </rPr>
      <t xml:space="preserve"> = Э </t>
    </r>
    <r>
      <rPr>
        <b/>
        <vertAlign val="superscript"/>
        <sz val="8"/>
        <color rgb="FF000000"/>
        <rFont val="PF Din Text Cond Pro Light"/>
        <charset val="204"/>
      </rPr>
      <t>отп.ф</t>
    </r>
    <r>
      <rPr>
        <b/>
        <sz val="8"/>
        <color rgb="FF000000"/>
        <rFont val="PF Din Text Cond Pro Light"/>
        <charset val="204"/>
      </rPr>
      <t xml:space="preserve"> </t>
    </r>
    <r>
      <rPr>
        <b/>
        <u/>
        <vertAlign val="subscript"/>
        <sz val="8"/>
        <color rgb="FF000000"/>
        <rFont val="PF Din Text Cond Pro Light"/>
        <charset val="204"/>
      </rPr>
      <t>2021</t>
    </r>
    <r>
      <rPr>
        <b/>
        <sz val="8"/>
        <color rgb="FF000000"/>
        <rFont val="PF Din Text Cond Pro Light"/>
        <charset val="204"/>
      </rPr>
      <t xml:space="preserve"> х ЦП </t>
    </r>
    <r>
      <rPr>
        <b/>
        <u/>
        <vertAlign val="subscript"/>
        <sz val="8"/>
        <color rgb="FF000000"/>
        <rFont val="PF Din Text Cond Pro Light"/>
        <charset val="204"/>
      </rPr>
      <t>2021</t>
    </r>
    <r>
      <rPr>
        <b/>
        <sz val="8"/>
        <color rgb="FF000000"/>
        <rFont val="PF Din Text Cond Pro Light"/>
        <charset val="204"/>
      </rPr>
      <t xml:space="preserve"> х N </t>
    </r>
    <r>
      <rPr>
        <b/>
        <u/>
        <vertAlign val="subscript"/>
        <sz val="8"/>
        <color rgb="FF000000"/>
        <rFont val="PF Din Text Cond Pro Light"/>
        <charset val="204"/>
      </rPr>
      <t>2021</t>
    </r>
    <r>
      <rPr>
        <b/>
        <sz val="8"/>
        <color rgb="FF000000"/>
        <rFont val="PF Din Text Cond Pro Light"/>
        <charset val="204"/>
      </rPr>
      <t xml:space="preserve"> - 
min {П </t>
    </r>
    <r>
      <rPr>
        <b/>
        <vertAlign val="superscript"/>
        <sz val="8"/>
        <color rgb="FF000000"/>
        <rFont val="PF Din Text Cond Pro Light"/>
        <charset val="204"/>
      </rPr>
      <t>ф</t>
    </r>
    <r>
      <rPr>
        <b/>
        <sz val="8"/>
        <color rgb="FF000000"/>
        <rFont val="PF Din Text Cond Pro Light"/>
        <charset val="204"/>
      </rPr>
      <t xml:space="preserve"> </t>
    </r>
    <r>
      <rPr>
        <b/>
        <u/>
        <vertAlign val="subscript"/>
        <sz val="8"/>
        <color rgb="FF000000"/>
        <rFont val="PF Din Text Cond Pro Light"/>
        <charset val="204"/>
      </rPr>
      <t>2021</t>
    </r>
    <r>
      <rPr>
        <b/>
        <sz val="8"/>
        <color rgb="FF000000"/>
        <rFont val="PF Din Text Cond Pro Light"/>
        <charset val="204"/>
      </rPr>
      <t xml:space="preserve">;N </t>
    </r>
    <r>
      <rPr>
        <b/>
        <u/>
        <vertAlign val="subscript"/>
        <sz val="8"/>
        <color rgb="FF000000"/>
        <rFont val="PF Din Text Cond Pro Light"/>
        <charset val="204"/>
      </rPr>
      <t>2021</t>
    </r>
    <r>
      <rPr>
        <b/>
        <sz val="8"/>
        <color rgb="FF000000"/>
        <rFont val="PF Din Text Cond Pro Light"/>
        <charset val="204"/>
      </rPr>
      <t xml:space="preserve"> х Э </t>
    </r>
    <r>
      <rPr>
        <b/>
        <vertAlign val="superscript"/>
        <sz val="8"/>
        <color rgb="FF000000"/>
        <rFont val="PF Din Text Cond Pro Light"/>
        <charset val="204"/>
      </rPr>
      <t>отп.ф</t>
    </r>
    <r>
      <rPr>
        <b/>
        <sz val="8"/>
        <color rgb="FF000000"/>
        <rFont val="PF Din Text Cond Pro Light"/>
        <charset val="204"/>
      </rPr>
      <t xml:space="preserve"> </t>
    </r>
    <r>
      <rPr>
        <b/>
        <u/>
        <vertAlign val="subscript"/>
        <sz val="8"/>
        <color rgb="FF000000"/>
        <rFont val="PF Din Text Cond Pro Light"/>
        <charset val="204"/>
      </rPr>
      <t>2021</t>
    </r>
    <r>
      <rPr>
        <b/>
        <sz val="8"/>
        <color rgb="FF000000"/>
        <rFont val="PF Din Text Cond Pro Light"/>
        <charset val="204"/>
      </rPr>
      <t xml:space="preserve">} х ЦП </t>
    </r>
    <r>
      <rPr>
        <b/>
        <vertAlign val="superscript"/>
        <sz val="8"/>
        <color rgb="FF000000"/>
        <rFont val="PF Din Text Cond Pro Light"/>
        <charset val="204"/>
      </rPr>
      <t>ф</t>
    </r>
    <r>
      <rPr>
        <b/>
        <sz val="8"/>
        <color rgb="FF000000"/>
        <rFont val="PF Din Text Cond Pro Light"/>
        <charset val="204"/>
      </rPr>
      <t xml:space="preserve"> </t>
    </r>
    <r>
      <rPr>
        <b/>
        <u/>
        <vertAlign val="subscript"/>
        <sz val="8"/>
        <color rgb="FF000000"/>
        <rFont val="PF Din Text Cond Pro Light"/>
        <charset val="204"/>
      </rPr>
      <t>2021</t>
    </r>
  </si>
  <si>
    <t>Для метода ИНДЕКС и для метода RAB</t>
  </si>
  <si>
    <t>6.2.5.3.2. Компенсация неподконтрольных расходов</t>
  </si>
  <si>
    <r>
      <t>∆НВВ</t>
    </r>
    <r>
      <rPr>
        <b/>
        <i/>
        <vertAlign val="superscript"/>
        <sz val="8"/>
        <color theme="1"/>
        <rFont val="PF Din Text Cond Pro Light"/>
        <charset val="204"/>
      </rPr>
      <t>корр ИП</t>
    </r>
    <r>
      <rPr>
        <b/>
        <sz val="8"/>
        <color theme="1"/>
        <rFont val="PF Din Text Cond Pro Light"/>
        <charset val="204"/>
      </rPr>
      <t xml:space="preserve"> </t>
    </r>
    <r>
      <rPr>
        <b/>
        <u/>
        <vertAlign val="subscript"/>
        <sz val="8"/>
        <color theme="1"/>
        <rFont val="PF Din Text Cond Pro Light"/>
        <charset val="204"/>
      </rPr>
      <t>2023</t>
    </r>
  </si>
  <si>
    <r>
      <t xml:space="preserve">Корректировка НВВ на 2023 год долгосрочного периода регулирования, осуществляемая в связи с изменением (неисполнением) инвестиционной программы за </t>
    </r>
    <r>
      <rPr>
        <b/>
        <u/>
        <sz val="8"/>
        <color theme="1"/>
        <rFont val="PF Din Text Cond Pro Light"/>
        <charset val="204"/>
      </rPr>
      <t>2021</t>
    </r>
    <r>
      <rPr>
        <b/>
        <sz val="8"/>
        <color theme="1"/>
        <rFont val="PF Din Text Cond Pro Light"/>
        <charset val="204"/>
      </rPr>
      <t xml:space="preserve"> год</t>
    </r>
  </si>
  <si>
    <r>
      <t>∆НВВ</t>
    </r>
    <r>
      <rPr>
        <b/>
        <i/>
        <vertAlign val="superscript"/>
        <sz val="8"/>
        <color theme="1"/>
        <rFont val="PF Din Text Cond Pro Light"/>
        <charset val="204"/>
      </rPr>
      <t>корр ИП</t>
    </r>
    <r>
      <rPr>
        <b/>
        <sz val="8"/>
        <color theme="1"/>
        <rFont val="PF Din Text Cond Pro Light"/>
        <charset val="204"/>
      </rPr>
      <t xml:space="preserve"> </t>
    </r>
    <r>
      <rPr>
        <b/>
        <u/>
        <vertAlign val="subscript"/>
        <sz val="8"/>
        <color theme="1"/>
        <rFont val="PF Din Text Cond Pro Light"/>
        <charset val="204"/>
      </rPr>
      <t>2023</t>
    </r>
    <r>
      <rPr>
        <b/>
        <sz val="8"/>
        <color theme="1"/>
        <rFont val="PF Din Text Cond Pro Light"/>
        <charset val="204"/>
      </rPr>
      <t xml:space="preserve"> = </t>
    </r>
    <r>
      <rPr>
        <b/>
        <sz val="8"/>
        <color rgb="FF000000"/>
        <rFont val="PF Din Text Cond Pro Light"/>
        <charset val="204"/>
      </rPr>
      <t>CC</t>
    </r>
    <r>
      <rPr>
        <b/>
        <i/>
        <vertAlign val="superscript"/>
        <sz val="8"/>
        <color rgb="FF000000"/>
        <rFont val="PF Din Text Cond Pro Light"/>
        <charset val="204"/>
      </rPr>
      <t>ИП</t>
    </r>
    <r>
      <rPr>
        <b/>
        <sz val="8"/>
        <color rgb="FF000000"/>
        <rFont val="PF Din Text Cond Pro Light"/>
        <charset val="204"/>
      </rPr>
      <t xml:space="preserve"> </t>
    </r>
    <r>
      <rPr>
        <b/>
        <u/>
        <vertAlign val="subscript"/>
        <sz val="8"/>
        <color rgb="FF000000"/>
        <rFont val="PF Din Text Cond Pro Light"/>
        <charset val="204"/>
      </rPr>
      <t>2021</t>
    </r>
    <r>
      <rPr>
        <b/>
        <sz val="8"/>
        <color theme="1"/>
        <rFont val="PF Din Text Cond Pro Light"/>
        <charset val="204"/>
      </rPr>
      <t xml:space="preserve"> х (</t>
    </r>
    <r>
      <rPr>
        <b/>
        <sz val="8"/>
        <color rgb="FF000000"/>
        <rFont val="PF Din Text Cond Pro Light"/>
        <charset val="204"/>
      </rPr>
      <t>ИП</t>
    </r>
    <r>
      <rPr>
        <b/>
        <i/>
        <vertAlign val="superscript"/>
        <sz val="8"/>
        <color rgb="FF000000"/>
        <rFont val="PF Din Text Cond Pro Light"/>
        <charset val="204"/>
      </rPr>
      <t>ф</t>
    </r>
    <r>
      <rPr>
        <b/>
        <sz val="8"/>
        <color rgb="FF000000"/>
        <rFont val="PF Din Text Cond Pro Light"/>
        <charset val="204"/>
      </rPr>
      <t xml:space="preserve"> </t>
    </r>
    <r>
      <rPr>
        <b/>
        <u/>
        <vertAlign val="subscript"/>
        <sz val="8"/>
        <color rgb="FF000000"/>
        <rFont val="PF Din Text Cond Pro Light"/>
        <charset val="204"/>
      </rPr>
      <t>2021</t>
    </r>
    <r>
      <rPr>
        <b/>
        <sz val="8"/>
        <color theme="1"/>
        <rFont val="PF Din Text Cond Pro Light"/>
        <charset val="204"/>
      </rPr>
      <t xml:space="preserve"> / </t>
    </r>
    <r>
      <rPr>
        <b/>
        <sz val="8"/>
        <color rgb="FF000000"/>
        <rFont val="PF Din Text Cond Pro Light"/>
        <charset val="204"/>
      </rPr>
      <t>ИП</t>
    </r>
    <r>
      <rPr>
        <b/>
        <i/>
        <vertAlign val="superscript"/>
        <sz val="8"/>
        <color rgb="FF000000"/>
        <rFont val="PF Din Text Cond Pro Light"/>
        <charset val="204"/>
      </rPr>
      <t>пл</t>
    </r>
    <r>
      <rPr>
        <b/>
        <sz val="8"/>
        <color rgb="FF000000"/>
        <rFont val="PF Din Text Cond Pro Light"/>
        <charset val="204"/>
      </rPr>
      <t xml:space="preserve"> </t>
    </r>
    <r>
      <rPr>
        <b/>
        <u/>
        <vertAlign val="subscript"/>
        <sz val="8"/>
        <color rgb="FF000000"/>
        <rFont val="PF Din Text Cond Pro Light"/>
        <charset val="204"/>
      </rPr>
      <t>2021</t>
    </r>
    <r>
      <rPr>
        <b/>
        <sz val="8"/>
        <color theme="1"/>
        <rFont val="PF Din Text Cond Pro Light"/>
        <charset val="204"/>
      </rPr>
      <t xml:space="preserve"> - 1)</t>
    </r>
  </si>
  <si>
    <r>
      <t>CC</t>
    </r>
    <r>
      <rPr>
        <b/>
        <i/>
        <vertAlign val="superscript"/>
        <sz val="8"/>
        <color rgb="FF000000"/>
        <rFont val="PF Din Text Cond Pro Light"/>
        <charset val="204"/>
      </rPr>
      <t>ИП</t>
    </r>
    <r>
      <rPr>
        <b/>
        <sz val="8"/>
        <color rgb="FF000000"/>
        <rFont val="PF Din Text Cond Pro Light"/>
        <charset val="204"/>
      </rPr>
      <t xml:space="preserve"> </t>
    </r>
    <r>
      <rPr>
        <b/>
        <u/>
        <vertAlign val="subscript"/>
        <sz val="8"/>
        <color rgb="FF000000"/>
        <rFont val="PF Din Text Cond Pro Light"/>
        <charset val="204"/>
      </rPr>
      <t>2021</t>
    </r>
  </si>
  <si>
    <r>
      <t xml:space="preserve">Объем собственных средств на реализацию инвестиционных программ, предусмотренных в НВВ, установленной на </t>
    </r>
    <r>
      <rPr>
        <b/>
        <u/>
        <sz val="8"/>
        <color theme="1"/>
        <rFont val="PF Din Text Cond Pro Light"/>
        <charset val="204"/>
      </rPr>
      <t>2021</t>
    </r>
    <r>
      <rPr>
        <b/>
        <sz val="8"/>
        <color theme="1"/>
        <rFont val="PF Din Text Cond Pro Light"/>
        <charset val="204"/>
      </rPr>
      <t xml:space="preserve"> год</t>
    </r>
  </si>
  <si>
    <r>
      <t>CC</t>
    </r>
    <r>
      <rPr>
        <b/>
        <i/>
        <vertAlign val="superscript"/>
        <sz val="8"/>
        <color rgb="FF000000"/>
        <rFont val="PF Din Text Cond Pro Light"/>
        <charset val="204"/>
      </rPr>
      <t>ИП</t>
    </r>
    <r>
      <rPr>
        <b/>
        <sz val="8"/>
        <color rgb="FF000000"/>
        <rFont val="PF Din Text Cond Pro Light"/>
        <charset val="204"/>
      </rPr>
      <t xml:space="preserve"> </t>
    </r>
    <r>
      <rPr>
        <b/>
        <u/>
        <vertAlign val="subscript"/>
        <sz val="8"/>
        <color rgb="FF000000"/>
        <rFont val="PF Din Text Cond Pro Light"/>
        <charset val="204"/>
      </rPr>
      <t>2021</t>
    </r>
    <r>
      <rPr>
        <b/>
        <sz val="8"/>
        <color theme="1"/>
        <rFont val="PF Din Text Cond Pro Light"/>
        <charset val="204"/>
      </rPr>
      <t xml:space="preserve"> = </t>
    </r>
    <r>
      <rPr>
        <b/>
        <sz val="8"/>
        <color rgb="FF000000"/>
        <rFont val="PF Din Text Cond Pro Light"/>
        <charset val="204"/>
      </rPr>
      <t>ВК</t>
    </r>
    <r>
      <rPr>
        <b/>
        <i/>
        <vertAlign val="superscript"/>
        <sz val="8"/>
        <color rgb="FF000000"/>
        <rFont val="PF Din Text Cond Pro Light"/>
        <charset val="204"/>
      </rPr>
      <t>ск</t>
    </r>
    <r>
      <rPr>
        <b/>
        <sz val="8"/>
        <color rgb="FF000000"/>
        <rFont val="PF Din Text Cond Pro Light"/>
        <charset val="204"/>
      </rPr>
      <t xml:space="preserve"> </t>
    </r>
    <r>
      <rPr>
        <b/>
        <u/>
        <vertAlign val="subscript"/>
        <sz val="8"/>
        <color rgb="FF000000"/>
        <rFont val="PF Din Text Cond Pro Light"/>
        <charset val="204"/>
      </rPr>
      <t>2021</t>
    </r>
    <r>
      <rPr>
        <b/>
        <sz val="8"/>
        <color theme="1"/>
        <rFont val="PF Din Text Cond Pro Light"/>
        <charset val="204"/>
      </rPr>
      <t xml:space="preserve"> + </t>
    </r>
    <r>
      <rPr>
        <b/>
        <sz val="8"/>
        <color rgb="FF000000"/>
        <rFont val="PF Din Text Cond Pro Light"/>
        <charset val="204"/>
      </rPr>
      <t>ДК</t>
    </r>
    <r>
      <rPr>
        <b/>
        <i/>
        <vertAlign val="superscript"/>
        <sz val="8"/>
        <color rgb="FF000000"/>
        <rFont val="PF Din Text Cond Pro Light"/>
        <charset val="204"/>
      </rPr>
      <t>ск</t>
    </r>
    <r>
      <rPr>
        <b/>
        <sz val="8"/>
        <color rgb="FF000000"/>
        <rFont val="PF Din Text Cond Pro Light"/>
        <charset val="204"/>
      </rPr>
      <t xml:space="preserve"> </t>
    </r>
    <r>
      <rPr>
        <b/>
        <u/>
        <vertAlign val="subscript"/>
        <sz val="8"/>
        <color rgb="FF000000"/>
        <rFont val="PF Din Text Cond Pro Light"/>
        <charset val="204"/>
      </rPr>
      <t>2021</t>
    </r>
    <r>
      <rPr>
        <b/>
        <sz val="8"/>
        <color theme="1"/>
        <rFont val="PF Din Text Cond Pro Light"/>
        <charset val="204"/>
      </rPr>
      <t xml:space="preserve"> + </t>
    </r>
    <r>
      <rPr>
        <b/>
        <sz val="8"/>
        <color rgb="FF000000"/>
        <rFont val="PF Din Text Cond Pro Light"/>
        <charset val="204"/>
      </rPr>
      <t xml:space="preserve">Дельта НВВ </t>
    </r>
    <r>
      <rPr>
        <b/>
        <i/>
        <vertAlign val="superscript"/>
        <sz val="8"/>
        <color rgb="FF000000"/>
        <rFont val="PF Din Text Cond Pro Light"/>
        <charset val="204"/>
      </rPr>
      <t>сг корр</t>
    </r>
    <r>
      <rPr>
        <b/>
        <sz val="8"/>
        <color rgb="FF000000"/>
        <rFont val="PF Din Text Cond Pro Light"/>
        <charset val="204"/>
      </rPr>
      <t xml:space="preserve"> </t>
    </r>
    <r>
      <rPr>
        <b/>
        <u/>
        <vertAlign val="subscript"/>
        <sz val="8"/>
        <color rgb="FF000000"/>
        <rFont val="PF Din Text Cond Pro Light"/>
        <charset val="204"/>
      </rPr>
      <t>2021</t>
    </r>
    <r>
      <rPr>
        <b/>
        <sz val="8"/>
        <color theme="1"/>
        <rFont val="PF Din Text Cond Pro Light"/>
        <charset val="204"/>
      </rPr>
      <t xml:space="preserve"> - </t>
    </r>
    <r>
      <rPr>
        <b/>
        <sz val="8"/>
        <color rgb="FF000000"/>
        <rFont val="PF Din Text Cond Pro Light"/>
        <charset val="204"/>
      </rPr>
      <t xml:space="preserve">Кр </t>
    </r>
    <r>
      <rPr>
        <b/>
        <u/>
        <vertAlign val="subscript"/>
        <sz val="8"/>
        <color rgb="FF000000"/>
        <rFont val="PF Din Text Cond Pro Light"/>
        <charset val="204"/>
      </rPr>
      <t>2021</t>
    </r>
    <r>
      <rPr>
        <b/>
        <sz val="8"/>
        <color theme="1"/>
        <rFont val="PF Din Text Cond Pro Light"/>
        <charset val="204"/>
      </rPr>
      <t xml:space="preserve"> - </t>
    </r>
    <r>
      <rPr>
        <b/>
        <sz val="8"/>
        <color rgb="FF000000"/>
        <rFont val="PF Din Text Cond Pro Light"/>
        <charset val="204"/>
      </rPr>
      <t>Вып</t>
    </r>
    <r>
      <rPr>
        <b/>
        <i/>
        <vertAlign val="superscript"/>
        <sz val="8"/>
        <color rgb="FF000000"/>
        <rFont val="PF Din Text Cond Pro Light"/>
        <charset val="204"/>
      </rPr>
      <t>ТП</t>
    </r>
    <r>
      <rPr>
        <b/>
        <u/>
        <vertAlign val="subscript"/>
        <sz val="8"/>
        <color rgb="FF000000"/>
        <rFont val="PF Din Text Cond Pro Light"/>
        <charset val="204"/>
      </rPr>
      <t xml:space="preserve"> 2021</t>
    </r>
    <r>
      <rPr>
        <b/>
        <sz val="8"/>
        <color theme="1"/>
        <rFont val="PF Din Text Cond Pro Light"/>
        <charset val="204"/>
      </rPr>
      <t xml:space="preserve"> - </t>
    </r>
    <r>
      <rPr>
        <b/>
        <sz val="8"/>
        <color rgb="FF000000"/>
        <rFont val="PF Din Text Cond Pro Light"/>
        <charset val="204"/>
      </rPr>
      <t>Расх</t>
    </r>
    <r>
      <rPr>
        <b/>
        <i/>
        <vertAlign val="superscript"/>
        <sz val="8"/>
        <color rgb="FF000000"/>
        <rFont val="PF Din Text Cond Pro Light"/>
        <charset val="204"/>
      </rPr>
      <t>приб</t>
    </r>
    <r>
      <rPr>
        <b/>
        <sz val="8"/>
        <color rgb="FF000000"/>
        <rFont val="PF Din Text Cond Pro Light"/>
        <charset val="204"/>
      </rPr>
      <t xml:space="preserve"> </t>
    </r>
    <r>
      <rPr>
        <b/>
        <u/>
        <vertAlign val="subscript"/>
        <sz val="8"/>
        <color rgb="FF000000"/>
        <rFont val="PF Din Text Cond Pro Light"/>
        <charset val="204"/>
      </rPr>
      <t>2021</t>
    </r>
  </si>
  <si>
    <r>
      <t>ВК</t>
    </r>
    <r>
      <rPr>
        <i/>
        <vertAlign val="superscript"/>
        <sz val="8"/>
        <color rgb="FF000000"/>
        <rFont val="PF Din Text Cond Pro Light"/>
        <charset val="204"/>
      </rPr>
      <t>ск</t>
    </r>
    <r>
      <rPr>
        <sz val="8"/>
        <color rgb="FF000000"/>
        <rFont val="PF Din Text Cond Pro Light"/>
        <charset val="204"/>
      </rPr>
      <t xml:space="preserve"> </t>
    </r>
    <r>
      <rPr>
        <u/>
        <vertAlign val="subscript"/>
        <sz val="8"/>
        <color rgb="FF000000"/>
        <rFont val="PF Din Text Cond Pro Light"/>
        <charset val="204"/>
      </rPr>
      <t>2021</t>
    </r>
  </si>
  <si>
    <r>
      <t xml:space="preserve">Величина возврата инвестированного капитала, учитываемого при расчете долгосрочных тарифов на услуги по передаче в  </t>
    </r>
    <r>
      <rPr>
        <u/>
        <sz val="8"/>
        <color theme="1"/>
        <rFont val="PF Din Text Cond Pro Light"/>
        <charset val="204"/>
      </rPr>
      <t>2021</t>
    </r>
    <r>
      <rPr>
        <sz val="8"/>
        <color theme="1"/>
        <rFont val="PF Din Text Cond Pro Light"/>
        <charset val="204"/>
      </rPr>
      <t xml:space="preserve"> году долгосрочного периода регулирования</t>
    </r>
  </si>
  <si>
    <r>
      <t>ДК</t>
    </r>
    <r>
      <rPr>
        <i/>
        <vertAlign val="superscript"/>
        <sz val="8"/>
        <color rgb="FF000000"/>
        <rFont val="PF Din Text Cond Pro Light"/>
        <charset val="204"/>
      </rPr>
      <t>ск</t>
    </r>
    <r>
      <rPr>
        <sz val="8"/>
        <color rgb="FF000000"/>
        <rFont val="PF Din Text Cond Pro Light"/>
        <charset val="204"/>
      </rPr>
      <t xml:space="preserve"> </t>
    </r>
    <r>
      <rPr>
        <u/>
        <vertAlign val="subscript"/>
        <sz val="8"/>
        <color rgb="FF000000"/>
        <rFont val="PF Din Text Cond Pro Light"/>
        <charset val="204"/>
      </rPr>
      <t>2021</t>
    </r>
  </si>
  <si>
    <r>
      <t xml:space="preserve">Величина дохода на инвестированного капитала, учитываемого при расчете долгосрочных тарифов на услуги по передаче в </t>
    </r>
    <r>
      <rPr>
        <u/>
        <sz val="8"/>
        <color theme="1"/>
        <rFont val="PF Din Text Cond Pro Light"/>
        <charset val="204"/>
      </rPr>
      <t>2021</t>
    </r>
    <r>
      <rPr>
        <sz val="8"/>
        <color theme="1"/>
        <rFont val="PF Din Text Cond Pro Light"/>
        <charset val="204"/>
      </rPr>
      <t xml:space="preserve"> году долгосрочного периода регулирования</t>
    </r>
  </si>
  <si>
    <r>
      <t xml:space="preserve">Дельта НВВ </t>
    </r>
    <r>
      <rPr>
        <i/>
        <vertAlign val="superscript"/>
        <sz val="8"/>
        <color rgb="FF000000"/>
        <rFont val="PF Din Text Cond Pro Light"/>
        <charset val="204"/>
      </rPr>
      <t>сг корр</t>
    </r>
    <r>
      <rPr>
        <sz val="8"/>
        <color rgb="FF000000"/>
        <rFont val="PF Din Text Cond Pro Light"/>
        <charset val="204"/>
      </rPr>
      <t xml:space="preserve"> </t>
    </r>
    <r>
      <rPr>
        <u/>
        <vertAlign val="subscript"/>
        <sz val="8"/>
        <color rgb="FF000000"/>
        <rFont val="PF Din Text Cond Pro Light"/>
        <charset val="204"/>
      </rPr>
      <t>2021</t>
    </r>
  </si>
  <si>
    <r>
      <t xml:space="preserve">Величина изменения НВВ, определяемого на </t>
    </r>
    <r>
      <rPr>
        <u/>
        <sz val="8"/>
        <color theme="1"/>
        <rFont val="PF Din Text Cond Pro Light"/>
        <charset val="204"/>
      </rPr>
      <t>2021</t>
    </r>
    <r>
      <rPr>
        <sz val="8"/>
        <color theme="1"/>
        <rFont val="PF Din Text Cond Pro Light"/>
        <charset val="204"/>
      </rPr>
      <t xml:space="preserve"> год, производимого в целях сглаживания тарифов</t>
    </r>
  </si>
  <si>
    <r>
      <t xml:space="preserve">Кр </t>
    </r>
    <r>
      <rPr>
        <u/>
        <vertAlign val="subscript"/>
        <sz val="8"/>
        <color rgb="FF000000"/>
        <rFont val="PF Din Text Cond Pro Light"/>
        <charset val="204"/>
      </rPr>
      <t>2021</t>
    </r>
  </si>
  <si>
    <r>
      <t xml:space="preserve">Величина фактической стоимости (процентов) заемных средств, привлеченных для осуществления регулируемой деятельности, в  </t>
    </r>
    <r>
      <rPr>
        <u/>
        <sz val="8"/>
        <color theme="1"/>
        <rFont val="PF Din Text Cond Pro Light"/>
        <charset val="204"/>
      </rPr>
      <t>2021</t>
    </r>
    <r>
      <rPr>
        <sz val="8"/>
        <color theme="1"/>
        <rFont val="PF Din Text Cond Pro Light"/>
        <charset val="204"/>
      </rPr>
      <t xml:space="preserve"> году</t>
    </r>
  </si>
  <si>
    <r>
      <t>Расх</t>
    </r>
    <r>
      <rPr>
        <i/>
        <vertAlign val="superscript"/>
        <sz val="8"/>
        <color rgb="FF000000"/>
        <rFont val="PF Din Text Cond Pro Light"/>
        <charset val="204"/>
      </rPr>
      <t>приб</t>
    </r>
    <r>
      <rPr>
        <sz val="8"/>
        <color rgb="FF000000"/>
        <rFont val="PF Din Text Cond Pro Light"/>
        <charset val="204"/>
      </rPr>
      <t xml:space="preserve"> </t>
    </r>
    <r>
      <rPr>
        <u/>
        <vertAlign val="subscript"/>
        <sz val="8"/>
        <color rgb="FF000000"/>
        <rFont val="PF Din Text Cond Pro Light"/>
        <charset val="204"/>
      </rPr>
      <t>2021</t>
    </r>
  </si>
  <si>
    <r>
      <t>Вып</t>
    </r>
    <r>
      <rPr>
        <i/>
        <vertAlign val="superscript"/>
        <sz val="8"/>
        <color rgb="FF000000"/>
        <rFont val="PF Din Text Cond Pro Light"/>
        <charset val="204"/>
      </rPr>
      <t>ТП</t>
    </r>
    <r>
      <rPr>
        <u/>
        <vertAlign val="subscript"/>
        <sz val="8"/>
        <color rgb="FF000000"/>
        <rFont val="PF Din Text Cond Pro Light"/>
        <charset val="204"/>
      </rPr>
      <t xml:space="preserve"> 2021</t>
    </r>
  </si>
  <si>
    <r>
      <t xml:space="preserve">Выпадающие доходы сетевой организации от присоединения энергопринимающих устройств максимальной мощностью, не превышающей 15 кВт включительно (с учетом ранее присоединенной в данной точке присоединения мощности), энергопринимающих устройств максимальной мощностью до 150 кВт включительно (с учетом ранее присоединенных в данной точке присоединения энергопринимающих устройств), не включаемые в плату за технологическое присоединение, связанные с компенсацией расходов на строительство объектов электросетевого хозяйства в  </t>
    </r>
    <r>
      <rPr>
        <u/>
        <sz val="8"/>
        <color theme="1"/>
        <rFont val="PF Din Text Cond Pro Light"/>
        <charset val="204"/>
      </rPr>
      <t>2021</t>
    </r>
    <r>
      <rPr>
        <sz val="8"/>
        <color theme="1"/>
        <rFont val="PF Din Text Cond Pro Light"/>
        <charset val="204"/>
      </rPr>
      <t xml:space="preserve"> году</t>
    </r>
  </si>
  <si>
    <r>
      <t>ИП</t>
    </r>
    <r>
      <rPr>
        <i/>
        <vertAlign val="superscript"/>
        <sz val="8"/>
        <color rgb="FF000000"/>
        <rFont val="PF Din Text Cond Pro Light"/>
        <charset val="204"/>
      </rPr>
      <t>пл</t>
    </r>
    <r>
      <rPr>
        <sz val="8"/>
        <color rgb="FF000000"/>
        <rFont val="PF Din Text Cond Pro Light"/>
        <charset val="204"/>
      </rPr>
      <t xml:space="preserve"> </t>
    </r>
    <r>
      <rPr>
        <u/>
        <vertAlign val="subscript"/>
        <sz val="8"/>
        <color rgb="FF000000"/>
        <rFont val="PF Din Text Cond Pro Light"/>
        <charset val="204"/>
      </rPr>
      <t>2021</t>
    </r>
  </si>
  <si>
    <r>
      <t xml:space="preserve">Плановый размер финансирования инвестиционной программы, утвержденной в установленном порядке на </t>
    </r>
    <r>
      <rPr>
        <u/>
        <sz val="8"/>
        <color theme="1"/>
        <rFont val="PF Din Text Cond Pro Light"/>
        <charset val="204"/>
      </rPr>
      <t>2021</t>
    </r>
    <r>
      <rPr>
        <sz val="8"/>
        <color theme="1"/>
        <rFont val="PF Din Text Cond Pro Light"/>
        <charset val="204"/>
      </rPr>
      <t xml:space="preserve"> год долгосрочного периода регулирования</t>
    </r>
  </si>
  <si>
    <r>
      <t>ИП</t>
    </r>
    <r>
      <rPr>
        <i/>
        <vertAlign val="superscript"/>
        <sz val="8"/>
        <color rgb="FF000000"/>
        <rFont val="PF Din Text Cond Pro Light"/>
        <charset val="204"/>
      </rPr>
      <t>ф</t>
    </r>
    <r>
      <rPr>
        <sz val="8"/>
        <color rgb="FF000000"/>
        <rFont val="PF Din Text Cond Pro Light"/>
        <charset val="204"/>
      </rPr>
      <t xml:space="preserve"> </t>
    </r>
    <r>
      <rPr>
        <u/>
        <vertAlign val="subscript"/>
        <sz val="8"/>
        <color rgb="FF000000"/>
        <rFont val="PF Din Text Cond Pro Light"/>
        <charset val="204"/>
      </rPr>
      <t>2021</t>
    </r>
  </si>
  <si>
    <r>
      <t xml:space="preserve">Объем фактического финансирования инвестиционной программы в </t>
    </r>
    <r>
      <rPr>
        <u/>
        <sz val="8"/>
        <color rgb="FF000000"/>
        <rFont val="PF Din Text Cond Pro Light"/>
        <charset val="204"/>
      </rPr>
      <t>2021</t>
    </r>
    <r>
      <rPr>
        <sz val="8"/>
        <color rgb="FF000000"/>
        <rFont val="PF Din Text Cond Pro Light"/>
        <charset val="204"/>
      </rPr>
      <t xml:space="preserve"> году долгосрочного периода регулирования</t>
    </r>
  </si>
  <si>
    <t>Баланс электрической энергии по сетям ВН, СН1, СН11 и НН в границах балансовой принадлежности</t>
  </si>
  <si>
    <t>I полугодие 2022 года (Тарифно-балансовое решение)</t>
  </si>
  <si>
    <t>II полугодие 2022 года (Тарифно-балансовое решение)</t>
  </si>
  <si>
    <t>2022 год (Тарифно-балансовое решение)</t>
  </si>
  <si>
    <t>ВСЕГО</t>
  </si>
  <si>
    <t xml:space="preserve">Поступление эл. энергии в сеть, ВСЕГО </t>
  </si>
  <si>
    <t>из смежной сети, всего, в т.ч. из сети</t>
  </si>
  <si>
    <t>ЕНЭС</t>
  </si>
  <si>
    <t>1.1.4</t>
  </si>
  <si>
    <t xml:space="preserve">от электростанций ПЭ </t>
  </si>
  <si>
    <t>от других поставщиков (в т.ч. с ОРЭМ)</t>
  </si>
  <si>
    <t xml:space="preserve">поступление от других организаций </t>
  </si>
  <si>
    <t xml:space="preserve">Потери электроэнергии в сети </t>
  </si>
  <si>
    <t>то же в % (п.2/п.1)</t>
  </si>
  <si>
    <t>Расход электроэнергии на произв. и хознужды</t>
  </si>
  <si>
    <t>Полезный отпуск из сети потребителям услуг</t>
  </si>
  <si>
    <t>в том числе населению</t>
  </si>
  <si>
    <t>Баланс электрической мощности по сетям ВН, СН1, СН2 и НН в границах балансовой принадлежности</t>
  </si>
  <si>
    <t xml:space="preserve">Поступление мощности в сеть, ВСЕГО </t>
  </si>
  <si>
    <t xml:space="preserve">Потери в сети </t>
  </si>
  <si>
    <t>Мощность на производственные и хозяйственные нужды</t>
  </si>
  <si>
    <t>Полезный отпуск заявленной мощности потребителей услуг</t>
  </si>
  <si>
    <t>Число часов использования заявленной мощности по сетям ВН, СН1, СН2 и НН в границах балансовой принадлежности</t>
  </si>
  <si>
    <t>Час</t>
  </si>
  <si>
    <t>Прогноз социально-экономического развития Российской Федерации, разработанным Минэкономразвития России и одобренным Правительством Российской Федерации, по состоянию на сентябрь 2021 года</t>
  </si>
  <si>
    <t>Предложение Организации о размере цен (тарифов) на расчетный период регулирования (2023 год) подготовлено с учетом требований Федерального закона № 35-ФЗ «Об электроэнергетике», ППРФ1178, Методических указаний № 20-э/2.
Состав обосновывающих материалов, представленных с заявлением Организацией, в целом соответствует перечню, установленному пунктом 17 Правил регулирования.</t>
  </si>
  <si>
    <t>12. Рекомендации «Регулятора» на основе экспертизы технико-экономических показателей.</t>
  </si>
  <si>
    <t>11. Общие сведения о хозяйственной деятельности Организации</t>
  </si>
  <si>
    <t>Метод регулирования</t>
  </si>
  <si>
    <t>На основании данных учета инвестированного капитала сформирована ведомость движения инвестированного капитала, созданного до перехода к регулированию методом доходности инвестированного капитала (Таблица 22) и ведомость движения инвестированного капитала, созданного после перехода к регулированию методом доходности инвестированного капитала (Таблица 23).</t>
  </si>
  <si>
    <t>В отношении Организации на текущий период регулирования приняты следующие индивидуальные тарифы на оказание услуг по передаче электрической энергии для взаиморасчетов между сетевыми организациями:</t>
  </si>
  <si>
    <r>
      <t xml:space="preserve">Единые (котловые) на территории </t>
    </r>
    <r>
      <rPr>
        <sz val="12"/>
        <color rgb="FFFF0000"/>
        <rFont val="PF Din Text Cond Pro Light"/>
        <charset val="204"/>
      </rPr>
      <t>___</t>
    </r>
    <r>
      <rPr>
        <sz val="12"/>
        <rFont val="PF Din Text Cond Pro Light"/>
        <charset val="204"/>
      </rPr>
      <t xml:space="preserve"> тарифы на услуги по передаче электрической энергии (мощности) на n год сформированы с учетом равенства тарифов на одном уровне напряжения для всех потребителей услуг, расположенных на территории </t>
    </r>
    <r>
      <rPr>
        <sz val="12"/>
        <color rgb="FFFF0000"/>
        <rFont val="PF Din Text Cond Pro Light"/>
        <charset val="204"/>
      </rPr>
      <t>___</t>
    </r>
    <r>
      <rPr>
        <sz val="12"/>
        <rFont val="PF Din Text Cond Pro Light"/>
        <charset val="204"/>
      </rPr>
      <t xml:space="preserve">, и принадлежащих к одной группе (категории), из числа тех, по которым законодательством Российской Федерации предусмотрена дифференциация тарифов на электрическую энергию (мощность), независимо от того, к сетям какой организации они присоединены. Для выполнения указанного принципа, в соответствии со сложившимися договорными отношениями тарифы на услуги по передаче электрической энергии, оказываемые «Организацией», на 2023 год рассчитаны исходя из суммарных расходов всех сетевых организаций (за исключением расходов ТСО оказывающих услуги по передаче электрической энергии преимущественно одному потребителю (далее - монопотребитель), пропорционально объему электрической энергии, потребляемому монопотребителем), расположенных на территории </t>
    </r>
    <r>
      <rPr>
        <sz val="12"/>
        <color rgb="FFFF0000"/>
        <rFont val="PF Din Text Cond Pro Light"/>
        <charset val="204"/>
      </rPr>
      <t>___</t>
    </r>
    <r>
      <rPr>
        <sz val="12"/>
        <rFont val="PF Din Text Cond Pro Light"/>
        <charset val="204"/>
      </rPr>
      <t>, объема и структуры полезного отпуска электрической энергии конечным потребителям.</t>
    </r>
  </si>
  <si>
    <t>2.1. Затраты прочих территориальных сетевых организаций региона.</t>
  </si>
  <si>
    <t>Затраты прочих территориальных сетевых организаций региона</t>
  </si>
  <si>
    <t>Наименование сетевой организации</t>
  </si>
  <si>
    <t>Отпуск э/э в сеть</t>
  </si>
  <si>
    <t>Ставка за содержание электрических сетей</t>
  </si>
  <si>
    <t>HBB без учета оплаты потерь, учтенная при расчете единых (котловых) тарифов на услуги по передаче электрической энергии</t>
  </si>
  <si>
    <t>HBB на оплату потерь, учтенная при расчете единых (котловых) тарифов на услуги по передаче электрической энергии</t>
  </si>
  <si>
    <r>
      <t xml:space="preserve">Затраты прочих ТСО региона определены «Регулятором» в следующем размере:
   - НВВ на содержание сетей – </t>
    </r>
    <r>
      <rPr>
        <sz val="12"/>
        <color rgb="FFFF0000"/>
        <rFont val="PF Din Text Cond Pro Light"/>
        <charset val="204"/>
      </rPr>
      <t>___</t>
    </r>
    <r>
      <rPr>
        <sz val="12"/>
        <rFont val="PF Din Text Cond Pro Light"/>
        <charset val="204"/>
      </rPr>
      <t xml:space="preserve"> тыс. руб.;
   - расходы на оплату потерь электрической энергии в сетях </t>
    </r>
    <r>
      <rPr>
        <sz val="12"/>
        <color rgb="FFFF0000"/>
        <rFont val="PF Din Text Cond Pro Light"/>
        <charset val="204"/>
      </rPr>
      <t>___</t>
    </r>
    <r>
      <rPr>
        <sz val="12"/>
        <rFont val="PF Din Text Cond Pro Light"/>
        <charset val="204"/>
      </rPr>
      <t xml:space="preserve"> тыс. руб.</t>
    </r>
  </si>
  <si>
    <t>2.2. Балансы электрической энергии и мощности.</t>
  </si>
  <si>
    <t>Принятые экспертами при формировании единых (котловых) тарифов на услуги по передаче электрической энергии (мощности) балансы электрической энергии и мощности на год 2023 год представлены на листе "Котловые балансы"</t>
  </si>
  <si>
    <t>Баланс электрической энергии по сетям ВН, СН1, СН11 и НН</t>
  </si>
  <si>
    <t>потребителям ээ за исключением указанных в п. 4.2</t>
  </si>
  <si>
    <t>4.1.1.</t>
  </si>
  <si>
    <t>в т.ч. потребителям, присоединенным к центру питания на ГН</t>
  </si>
  <si>
    <t>населению (для распределения перекрестного субсидирования)</t>
  </si>
  <si>
    <t>Баланс электрической мощности по сетям ВН, СН1, СН2 и НН</t>
  </si>
  <si>
    <t>Заявленная мощность потребителей за исключением указанных в п. 4.2</t>
  </si>
  <si>
    <t>в т.ч. потребителей, присоединенных к центру питания на ГН</t>
  </si>
  <si>
    <t>Число часов использования заявленной мощности по сетям ВН, СН1, СН2 и НН</t>
  </si>
  <si>
    <t>потребителям за исключением указанных в п. 2.2</t>
  </si>
  <si>
    <t>населению</t>
  </si>
  <si>
    <t>При прогнозировании балансов электрической энергии и мощности, в границах «котла» ___, на 2023 год «Регулятор» руководствовался:</t>
  </si>
  <si>
    <t>2.3. Ставки тарифов на услуги по передаче электрической энергии.</t>
  </si>
  <si>
    <t>2.3.1. Экономически обоснованные единые (котловые) тарифы.</t>
  </si>
  <si>
    <r>
      <t xml:space="preserve">При формировании единых (котловых) тарифов на услуги по передаче электрической энергии (мощности) на n год, учтены следующие затраты:
   - затраты, относимые на содержание сетей «Организации» и других сетевых организаций региона, в размере </t>
    </r>
    <r>
      <rPr>
        <sz val="12"/>
        <color rgb="FFFF0000"/>
        <rFont val="PF Din Text Cond Pro Light"/>
        <charset val="204"/>
      </rPr>
      <t>___</t>
    </r>
    <r>
      <rPr>
        <sz val="12"/>
        <rFont val="PF Din Text Cond Pro Light"/>
        <charset val="204"/>
      </rPr>
      <t xml:space="preserve"> тыс. руб.;
   - затраты на компенсацию технологического расхода (потерь) электрической энергии в сетях «Организации» и других сетевых организаций региона в размере </t>
    </r>
    <r>
      <rPr>
        <sz val="12"/>
        <color rgb="FFFF0000"/>
        <rFont val="PF Din Text Cond Pro Light"/>
        <charset val="204"/>
      </rPr>
      <t>___</t>
    </r>
    <r>
      <rPr>
        <sz val="12"/>
        <rFont val="PF Din Text Cond Pro Light"/>
        <charset val="204"/>
      </rPr>
      <t xml:space="preserve"> тыс. руб.</t>
    </r>
  </si>
  <si>
    <t xml:space="preserve">«Котловая» НВВ </t>
  </si>
  <si>
    <t>НВВ (котловая)</t>
  </si>
  <si>
    <t>НВВ на содержание электрических сетей всего, в т.ч.:</t>
  </si>
  <si>
    <t>НВВ на содержание электрических сетей «Организации»</t>
  </si>
  <si>
    <t>Расходы на оплату потерь электроэнергии в сетях всего в т.ч.:</t>
  </si>
  <si>
    <t>Расходы на оплату потерь электроэнергии в сетях «Организации»</t>
  </si>
  <si>
    <t>Таблица 47</t>
  </si>
  <si>
    <t>Экономически обоснованные тарифы на услуги по передаче электрической энергии, на n год сформировались на следующем уровне.</t>
  </si>
  <si>
    <t>2.3.2.</t>
  </si>
  <si>
    <t>2.3.3.</t>
  </si>
  <si>
    <t>Таблица 48</t>
  </si>
  <si>
    <t>Настроить формулы на лист "Котловые балансы"</t>
  </si>
  <si>
    <t>2.3.2. Единые (котловые) тарифы для населения.</t>
  </si>
  <si>
    <t xml:space="preserve">сформированы тарифы на услуги по передаче электрической энергии (мощности) для группы потребителей население и приравненные к нему категории потребителей в следующих размерах.
</t>
  </si>
  <si>
    <t>В целях реализации принципа равенства тарифов для групп (категорий) потребителей, из числа тех, по которым законодательством Российской Федерации предусмотрена дифференциация тарифов на электрическую энергию (мощность), а также с учетом:</t>
  </si>
  <si>
    <r>
      <t xml:space="preserve">   - индикативных цен на электрическую энергию и мощность, поставляемую с оптового рынка населению и приравненным к нему категориям потребителей на 2023 год, утвержденных приказом ФАС России от </t>
    </r>
    <r>
      <rPr>
        <sz val="12"/>
        <color rgb="FFFF0000"/>
        <rFont val="PF Din Text Cond Pro Light"/>
        <charset val="204"/>
      </rPr>
      <t>__.__.20__ № ___</t>
    </r>
    <r>
      <rPr>
        <sz val="12"/>
        <rFont val="PF Din Text Cond Pro Light"/>
        <charset val="204"/>
      </rPr>
      <t>;</t>
    </r>
  </si>
  <si>
    <r>
      <t xml:space="preserve">   - предельных уровней тарифов на электрическую энергию, поставляемую населению и приравненным к нему категориям потребителей, на 2023 год, утвержденных приказом ФАС России 
от </t>
    </r>
    <r>
      <rPr>
        <sz val="12"/>
        <color rgb="FFFF0000"/>
        <rFont val="PF Din Text Cond Pro Light"/>
        <charset val="204"/>
      </rPr>
      <t>__.__.20__ № ___</t>
    </r>
    <r>
      <rPr>
        <sz val="12"/>
        <rFont val="PF Din Text Cond Pro Light"/>
        <charset val="204"/>
      </rPr>
      <t>;</t>
    </r>
  </si>
  <si>
    <r>
      <t xml:space="preserve">   - предельных уровней тарифов на услуги по передаче электрической энергии, поставляемой населению и приравненным к нему категориям потребителей, на 2023 год, утвержденных приказом ФАС России от </t>
    </r>
    <r>
      <rPr>
        <sz val="12"/>
        <color rgb="FFFF0000"/>
        <rFont val="PF Din Text Cond Pro Light"/>
        <charset val="204"/>
      </rPr>
      <t>__.__.20__ № ___</t>
    </r>
    <r>
      <rPr>
        <sz val="12"/>
        <rFont val="PF Din Text Cond Pro Light"/>
        <charset val="204"/>
      </rPr>
      <t>;</t>
    </r>
  </si>
  <si>
    <r>
      <t xml:space="preserve">   - тарифов на электрическую энергию, поставляемую населению и приравненным к нему категориям потребителей, на 2023 год, утвержденных постановлением «Регулятора» от </t>
    </r>
    <r>
      <rPr>
        <sz val="12"/>
        <color rgb="FFFF0000"/>
        <rFont val="PF Din Text Cond Pro Light"/>
        <charset val="204"/>
      </rPr>
      <t>__.__.20__ № ___</t>
    </r>
    <r>
      <rPr>
        <sz val="12"/>
        <rFont val="PF Din Text Cond Pro Light"/>
        <charset val="204"/>
      </rPr>
      <t>,</t>
    </r>
  </si>
  <si>
    <t>Расчет единых (котловых) тарифов для населения</t>
  </si>
  <si>
    <t>Группа</t>
  </si>
  <si>
    <t>Плановый объем полезного отпуска</t>
  </si>
  <si>
    <t>Тариф на э/э</t>
  </si>
  <si>
    <t>Покупка с ОРЭМ и инфрастр. платежи</t>
  </si>
  <si>
    <t>Сбытовая надбавка</t>
  </si>
  <si>
    <t>Тариф на услуги по передаче э/э</t>
  </si>
  <si>
    <t>руб./ МВтч</t>
  </si>
  <si>
    <t>Двухзонный тариф</t>
  </si>
  <si>
    <t>День</t>
  </si>
  <si>
    <t>Ночь</t>
  </si>
  <si>
    <t>Трехзонный тариф</t>
  </si>
  <si>
    <t>Пик</t>
  </si>
  <si>
    <t>Полупик</t>
  </si>
  <si>
    <t>Категория 1 (искл. 2 и 5)</t>
  </si>
  <si>
    <t>Категория 2 (ГНП с ЭП и ЭО)</t>
  </si>
  <si>
    <t>Категория 3 (ГНП с ЭП, без ЭО)</t>
  </si>
  <si>
    <t>Категория 4 (ГНП без ЭП, с ЭО)</t>
  </si>
  <si>
    <t>Категория 5 (Сел. Нас. Пунк.)</t>
  </si>
  <si>
    <t>Категория 6.1 (Спец. Жил.Фонд)</t>
  </si>
  <si>
    <t>Категория 6.2 (СНТ, ДНТ)</t>
  </si>
  <si>
    <t>Категория 6.3 (Осужденным)</t>
  </si>
  <si>
    <t>Категория 6.4 (Религиозн.)</t>
  </si>
  <si>
    <t>Категория 6.5 (ГП, ЭСО)</t>
  </si>
  <si>
    <t>Категория 6.6 (ГСК)</t>
  </si>
  <si>
    <t>2.3.3. Единые (котловые) тарифы для прочих потребителей.</t>
  </si>
  <si>
    <t>2.3.3.1. Перекрестное субсидирование.</t>
  </si>
  <si>
    <r>
      <t xml:space="preserve">Объем перекрестного субсидирования, отнесенный на прочих потребителей в 2023 году составил </t>
    </r>
    <r>
      <rPr>
        <sz val="12"/>
        <color rgb="FFFF0000"/>
        <rFont val="PF Din Text Cond Pro Light"/>
        <charset val="204"/>
      </rPr>
      <t>___</t>
    </r>
    <r>
      <rPr>
        <sz val="12"/>
        <rFont val="PF Din Text Cond Pro Light"/>
        <charset val="204"/>
      </rPr>
      <t xml:space="preserve"> тыс. руб.</t>
    </r>
  </si>
  <si>
    <t>Расчет величины перекрестного субсидирования, учитываемой в ценах (тарифах) на услуги по передаче электрической энергии (мощности) для потребителей, не относящихся к населению или приравненным к нему категориям потребителей, оказываемые территориальными сетевыми организациями, осуществлен в соответствии с пунктом 81(5) Основ ценообразования, вычитанием из величины суммарных расходов территориальных сетевых организаций (в том числе расходов на компенсацию потерь в электрических сетях), следующих величин:
   - стоимость услуг по передаче электрической энергии, оказываемых территориальными сетевыми организациями потребителям, не относящимся к населению и приравненным к нему категориям потребителей, рассчитываемая как произведение планового объема услуг по передаче электрической энергии и мощности по уровням напряжения для таких потребителей и двухставочных экономически обоснованных единых (котловых) тарифов на услуги по передаче электрической энергии на соответствующем уровне напряжения, рассчитываемых в соответствии с методическими указаниями по расчету тарифов на услуги по передаче электрической энергии, оказываемые потребителям, не относящимся к населению и приравненным к нему категориям потребителей;
   - стоимость услуг по передаче электрической энергии (мощности), оказываемых территориальными сетевыми организациями населению и приравненным к нему категориям потребителей, рассчитываемая как произведение объема поставки электрической энергии (мощности) указанным потребителям, учитываемого при формировании прогнозного баланса, и тарифа на услуги по передаче электрической энергии, поставляемой населению и приравненным к нему категориям потребителей, рассчитываемого в соответствии с методическими указаниями по расчету тарифов на электрическую энергию (мощность) для населения и приравненных к нему категорий потребителей, тарифов на услуги по передаче электрической энергии, поставляемой населению и приравненным к нему категории потребителей.</t>
  </si>
  <si>
    <t>Перекрестное субсидирование</t>
  </si>
  <si>
    <t>Ставка на содержание электрических сетей (экономически обоснованная)</t>
  </si>
  <si>
    <t xml:space="preserve">Ставка за оплату технологического расхода (потерь) электроэнергии </t>
  </si>
  <si>
    <t>Заявленная мощность потребителей</t>
  </si>
  <si>
    <t>Полезный отпуск ээ потребителям</t>
  </si>
  <si>
    <t>Средний тариф на услуги по передаче электрической энергии для населения</t>
  </si>
  <si>
    <t>Таблица 49</t>
  </si>
  <si>
    <t>Ставка на оплату технологического расхода (потерь)</t>
  </si>
  <si>
    <t>2.3.3.2. Ставки тарифов для прочих потребителей.</t>
  </si>
  <si>
    <r>
      <t xml:space="preserve">Единые (котловые) тарифы на услуги по передаче электрической энергии (мощности), оказываемые прочим потребителям, на 2023 год сформировались с учетом предельных уровней тарифов на услуги по передаче электрической энергии на 2023 год, утвержденных приказом ФАС России от </t>
    </r>
    <r>
      <rPr>
        <sz val="12"/>
        <color rgb="FFFF0000"/>
        <rFont val="PF Din Text Cond Pro Light"/>
        <charset val="204"/>
      </rPr>
      <t>__.__.20__ № ___</t>
    </r>
    <r>
      <rPr>
        <sz val="12"/>
        <rFont val="PF Din Text Cond Pro Light"/>
        <charset val="204"/>
      </rPr>
      <t>.</t>
    </r>
  </si>
  <si>
    <t>Расчет тарифов с учетом перекрестного субсидирования для группы потребителей «Прочие»</t>
  </si>
  <si>
    <t>X</t>
  </si>
  <si>
    <t>Таблица 50</t>
  </si>
  <si>
    <t>Расчет тарифов с учетом перекрестного субсидирования для группы потребителей «Прочие» (уровень напряжения ВН1)</t>
  </si>
  <si>
    <t xml:space="preserve"> Полезный отпуск электрической энергии </t>
  </si>
  <si>
    <t xml:space="preserve"> Заявленная мощность </t>
  </si>
  <si>
    <t>Ставка, которая обеспечивает учет величины перекрестного субсидирования в тарифе ВН1 (ставка перекрестного субсидирования)</t>
  </si>
  <si>
    <t>Ставка перекрестного субсидирования, которая изначально была утверждена федеральным законом</t>
  </si>
  <si>
    <t>Процент снижения ставки перекрестного субсидирования на ВН1, предусмотренный федеральным законом либо соглашением</t>
  </si>
  <si>
    <t>Ставка тарифа на услуги по передаче электрической энергии на содержание объектов электросетевого хозяйства, входящих в ЕНЭС</t>
  </si>
  <si>
    <t>Ставка тарифа на оплату нормативных технологических потерь в сетях, входящих в ЕНЭС</t>
  </si>
  <si>
    <t xml:space="preserve">Утвержденные региональным регулирующим органом тарифы на услуги по передаче электрической энергии на уровне напряжения ВН1 </t>
  </si>
  <si>
    <t>Ставка на оплату нормативных технологических потерь электрической энергии в электрических сетях</t>
  </si>
  <si>
    <t>Стоимость услуг ПАО «ФСК ЕЭС»</t>
  </si>
  <si>
    <t>Таблица 51</t>
  </si>
  <si>
    <r>
      <t xml:space="preserve">Объем полезного отпуска электрической энергии потребителей услуг на уровне напряжения ВН1 класса напряжения </t>
    </r>
    <r>
      <rPr>
        <b/>
        <sz val="8"/>
        <rFont val="PF Din Text Cond Pro Light"/>
        <charset val="204"/>
      </rPr>
      <t>330 кВ и выше</t>
    </r>
  </si>
  <si>
    <r>
      <t xml:space="preserve">Объем полезного отпуска электрической энергии потребителей услуг на уровне напряжения ВН1 класса напряжения </t>
    </r>
    <r>
      <rPr>
        <b/>
        <sz val="8"/>
        <rFont val="PF Din Text Cond Pro Light"/>
        <charset val="204"/>
      </rPr>
      <t>220 кВ и ниже</t>
    </r>
  </si>
  <si>
    <r>
      <t xml:space="preserve">Объем мощности потребителей услуг на уровне напряжения ВН1 класса напряжения </t>
    </r>
    <r>
      <rPr>
        <b/>
        <sz val="8"/>
        <rFont val="PF Din Text Cond Pro Light"/>
        <charset val="204"/>
      </rPr>
      <t>330 кВ и выше</t>
    </r>
  </si>
  <si>
    <r>
      <t xml:space="preserve">Объем мощности потребителей услуг на уровне напряжения ВН1 класса напряжения </t>
    </r>
    <r>
      <rPr>
        <b/>
        <sz val="8"/>
        <rFont val="PF Din Text Cond Pro Light"/>
        <charset val="204"/>
      </rPr>
      <t>220 кВ и ниже</t>
    </r>
  </si>
  <si>
    <r>
      <t>Норматив потерь электрической энергии при ее передаче по электрическим сетям ЕНЭС в соответствии с п. 33 Основ ценообразования класса напряжения</t>
    </r>
    <r>
      <rPr>
        <b/>
        <sz val="8"/>
        <rFont val="PF Din Text Cond Pro Light"/>
        <charset val="204"/>
      </rPr>
      <t xml:space="preserve"> 330 кВ и выше</t>
    </r>
  </si>
  <si>
    <r>
      <t>Норматив потерь электрической энергии при ее передаче по электрическим сетям ЕНЭС в соответствии с п. 33 Основ ценообразования класса напряжения</t>
    </r>
    <r>
      <rPr>
        <b/>
        <sz val="8"/>
        <rFont val="PF Din Text Cond Pro Light"/>
        <charset val="204"/>
      </rPr>
      <t xml:space="preserve"> 220 кВ и ниже</t>
    </r>
  </si>
  <si>
    <t>Экспертами предлагается установить сформированные единые (котловые) тарифы на услуги по передаче электрической энергии (мощности) на 2023 год.</t>
  </si>
  <si>
    <t>Справочная таблица: исполнение инвестиционной программы за 2019 год</t>
  </si>
  <si>
    <t>I полугодие 2021 года</t>
  </si>
  <si>
    <t>II полугодие 2021 года</t>
  </si>
  <si>
    <t>Ссылка на тарифное решение на 2021 год</t>
  </si>
  <si>
    <t>Корректировка НВВ по решению суда или ФАС</t>
  </si>
  <si>
    <t>Корректировка НВВ в соответствии с актом проверки</t>
  </si>
  <si>
    <t>*Указать комментарий по фактически завершенному периоду (2021 год) / по плановому периоду (2023 год)</t>
  </si>
  <si>
    <t>**Указать комментарий по фактически завершенному периоду (2021 год) / по плановому периоду (2023 год)</t>
  </si>
  <si>
    <t>Комментарии Экспертов</t>
  </si>
  <si>
    <t>1.2.1.1.1.1.</t>
  </si>
  <si>
    <t>1.2.1.1.1.2.</t>
  </si>
  <si>
    <t>1.2.1.1.2.1.</t>
  </si>
  <si>
    <t>1.2.1.1.2.2.</t>
  </si>
  <si>
    <t>1.2.1.2.1.1.</t>
  </si>
  <si>
    <t>1.2.1.2.1.2.</t>
  </si>
  <si>
    <t>1.2.1.2.2.1.</t>
  </si>
  <si>
    <t>1.2.1.2.2.2.</t>
  </si>
  <si>
    <t>**Указать комментарий по фактически завершенному периоду (2021 год)</t>
  </si>
  <si>
    <t>Величина арендной платы за владение и (или) пользование электросетевым имуществом на 2021 год, утверждено,тыс. руб.</t>
  </si>
  <si>
    <t>**Указать комментарий по плановому периоду (2023 год)</t>
  </si>
  <si>
    <t>*Указать комментарий по фактически завершенному периоду (2021 год)</t>
  </si>
  <si>
    <t>*Указать комментарий по плановому периоду (2023 год)</t>
  </si>
  <si>
    <t>Лизинг прочего имущества на 2021 год, утверждено,тыс. руб.</t>
  </si>
  <si>
    <t>расходы на лизинг  на 2023 год</t>
  </si>
  <si>
    <t>Сумма налога на имущество - заявлено в тарифе на 2023 год</t>
  </si>
  <si>
    <t>Расходы на уплату процентов по займам и кредитам на 2021 год (утвержденные значения)</t>
  </si>
  <si>
    <t>1. Балансы ЭЭ и М</t>
  </si>
  <si>
    <t>Баланс электрической энергии (мощности) по сетям ВН, СН1, СН11 и НН в границах балансовой принадлежности</t>
  </si>
  <si>
    <t>Структура полезного отпуска электрической энергии (мощности) по группам потребителей, присоединенных к сетям ТСО по форме Таблицы П1.4 и П1.5 Методических указаний 20-э/2*</t>
  </si>
  <si>
    <t>2.Котловые балансы</t>
  </si>
  <si>
    <t>Баланс электрической энергии (мощности) по сетям ВН, СН1, СН11 и НН в границах котла региона</t>
  </si>
  <si>
    <t>3 (ЛЭП у.е.)</t>
  </si>
  <si>
    <t>4 (ПС у.е.)</t>
  </si>
  <si>
    <t>5 (свод у.е.)</t>
  </si>
  <si>
    <t>6 (сырье и материалы)</t>
  </si>
  <si>
    <t>7 (РПР, ремонт)</t>
  </si>
  <si>
    <t>8 (расходы на ТО)</t>
  </si>
  <si>
    <t>25 (расчет тарифа)</t>
  </si>
  <si>
    <t>26 (корректировка)</t>
  </si>
  <si>
    <t>27 (депозиты)</t>
  </si>
  <si>
    <t>28 (бездоговор)</t>
  </si>
  <si>
    <t>29 (потери-факт)</t>
  </si>
  <si>
    <t>30 (тов.выручка-факт)</t>
  </si>
  <si>
    <t>31 (услуги ФСК-факт)</t>
  </si>
  <si>
    <t>32 (ИПР-факт)</t>
  </si>
  <si>
    <t>33 орех и нп</t>
  </si>
  <si>
    <t>Расчет операционных и неподконтрольных расходов</t>
  </si>
  <si>
    <t>34 Расчет НВВ по RAB</t>
  </si>
  <si>
    <t>Расчет необходимой валовой выручки</t>
  </si>
  <si>
    <t>35 Исполнение ИПР</t>
  </si>
  <si>
    <t>36 Расчет ЕКТ</t>
  </si>
  <si>
    <t>37 ФХД</t>
  </si>
  <si>
    <t>38 ДПР</t>
  </si>
  <si>
    <t>39 ИПЦ</t>
  </si>
  <si>
    <t>Покупная электрическая энергия на компенсацию потерь (Затраты на оплату потерь) (в границах балансовой принадлежности сетей)</t>
  </si>
  <si>
    <t>40 Потери ээ</t>
  </si>
  <si>
    <r>
      <t xml:space="preserve">Сводная информация по объему электросетевого оборудования в условных единицах. </t>
    </r>
    <r>
      <rPr>
        <b/>
        <sz val="10"/>
        <rFont val="Times New Roman"/>
        <family val="1"/>
        <charset val="204"/>
      </rPr>
      <t>Заполняется автоматически</t>
    </r>
  </si>
  <si>
    <t>Расчет ставки по оплате технологического расхода (потерь) электрической энергии на ее передачу, индивидуальных тарифов на услуги по передаче электрической энергии  для взаиморасчетов между сетевыми организациями</t>
  </si>
  <si>
    <r>
      <t xml:space="preserve">Согласно Уставу, утвержденному решением от </t>
    </r>
    <r>
      <rPr>
        <sz val="12"/>
        <color rgb="FFFF0000"/>
        <rFont val="PF Din Text Cond Pro Light"/>
        <charset val="204"/>
      </rPr>
      <t>____</t>
    </r>
    <r>
      <rPr>
        <sz val="12"/>
        <rFont val="PF Din Text Cond Pro Light"/>
        <charset val="204"/>
      </rPr>
      <t xml:space="preserve"> № </t>
    </r>
    <r>
      <rPr>
        <sz val="12"/>
        <color rgb="FFFF0000"/>
        <rFont val="PF Din Text Cond Pro Light"/>
        <charset val="204"/>
      </rPr>
      <t>_</t>
    </r>
    <r>
      <rPr>
        <sz val="12"/>
        <rFont val="PF Din Text Cond Pro Light"/>
        <charset val="204"/>
      </rPr>
      <t xml:space="preserve">, Организация осуществляет </t>
    </r>
    <r>
      <rPr>
        <sz val="12"/>
        <color rgb="FFFF0000"/>
        <rFont val="PF Din Text Cond Pro Light"/>
        <charset val="204"/>
      </rPr>
      <t>___</t>
    </r>
    <r>
      <rPr>
        <sz val="12"/>
        <rFont val="PF Din Text Cond Pro Light"/>
        <charset val="204"/>
      </rPr>
      <t xml:space="preserve"> видов экономической деятельности. 
Основным видом деятельности Организации является оказание услуг по передаче электрической энергии и технологическое присоединение потребителей к электрическим сетям. Организация осуществляет деятельность на территории </t>
    </r>
    <r>
      <rPr>
        <sz val="12"/>
        <color rgb="FFFF0000"/>
        <rFont val="PF Din Text Cond Pro Light"/>
        <charset val="204"/>
      </rPr>
      <t>________</t>
    </r>
    <r>
      <rPr>
        <sz val="12"/>
        <rFont val="PF Din Text Cond Pro Light"/>
        <charset val="204"/>
      </rPr>
      <t xml:space="preserve"> и применяет </t>
    </r>
    <r>
      <rPr>
        <sz val="12"/>
        <color rgb="FFFF0000"/>
        <rFont val="PF Din Text Cond Pro Light"/>
        <charset val="204"/>
      </rPr>
      <t>общую (указать какую)</t>
    </r>
    <r>
      <rPr>
        <sz val="12"/>
        <rFont val="PF Din Text Cond Pro Light"/>
        <charset val="204"/>
      </rPr>
      <t xml:space="preserve"> систему налогообложения.
Уставный капитал Организации составляет </t>
    </r>
    <r>
      <rPr>
        <sz val="12"/>
        <color rgb="FFFF0000"/>
        <rFont val="PF Din Text Cond Pro Light"/>
        <charset val="204"/>
      </rPr>
      <t>_____</t>
    </r>
    <r>
      <rPr>
        <sz val="12"/>
        <rFont val="PF Din Text Cond Pro Light"/>
        <charset val="204"/>
      </rPr>
      <t xml:space="preserve">.
Государственная регистрация юридического лица Организации произведена в налоговом органе по месту нахождения </t>
    </r>
    <r>
      <rPr>
        <sz val="12"/>
        <color rgb="FFFF0000"/>
        <rFont val="PF Din Text Cond Pro Light"/>
        <charset val="204"/>
      </rPr>
      <t>– Межрайонной инспекции Федеральной налоговой службы № 46 по г. Москве 30.08.2018 за основным государственным регистрационным номером (ОГРН) ______________ (пример)</t>
    </r>
    <r>
      <rPr>
        <sz val="12"/>
        <rFont val="PF Din Text Cond Pro Light"/>
        <charset val="204"/>
      </rPr>
      <t xml:space="preserve">.
Согласно выписке из Единого государственного реестра юридических лиц (далее – выписка из ЕГРЮЛ) </t>
    </r>
    <r>
      <rPr>
        <sz val="12"/>
        <color rgb="FFFF0000"/>
        <rFont val="PF Din Text Cond Pro Light"/>
        <charset val="204"/>
      </rPr>
      <t>от ________ организация состоит на учете в ИФНС № __ по ______________(Субъект РФ) с ________</t>
    </r>
    <r>
      <rPr>
        <sz val="12"/>
        <rFont val="PF Din Text Cond Pro Light"/>
        <charset val="204"/>
      </rPr>
      <t xml:space="preserve">.
Учетная политика, утверждена приказом по Организации от </t>
    </r>
    <r>
      <rPr>
        <sz val="12"/>
        <color rgb="FFFF0000"/>
        <rFont val="PF Din Text Cond Pro Light"/>
        <charset val="204"/>
      </rPr>
      <t>______</t>
    </r>
    <r>
      <rPr>
        <sz val="12"/>
        <rFont val="PF Din Text Cond Pro Light"/>
        <charset val="204"/>
      </rPr>
      <t xml:space="preserve"> № </t>
    </r>
    <r>
      <rPr>
        <sz val="12"/>
        <color rgb="FFFF0000"/>
        <rFont val="PF Din Text Cond Pro Light"/>
        <charset val="204"/>
      </rPr>
      <t>_</t>
    </r>
    <r>
      <rPr>
        <sz val="12"/>
        <rFont val="PF Din Text Cond Pro Light"/>
        <charset val="204"/>
      </rPr>
      <t xml:space="preserve"> «Об утверждении Учетной политики для целей бухгалтерского и налогового учета». 
Договор на оказание услуг по передаче электрической энергии по электрическим сетям от </t>
    </r>
    <r>
      <rPr>
        <sz val="12"/>
        <color rgb="FFFF0000"/>
        <rFont val="PF Din Text Cond Pro Light"/>
        <charset val="204"/>
      </rPr>
      <t>____</t>
    </r>
    <r>
      <rPr>
        <sz val="12"/>
        <rFont val="PF Din Text Cond Pro Light"/>
        <charset val="204"/>
      </rPr>
      <t xml:space="preserve"> № </t>
    </r>
    <r>
      <rPr>
        <sz val="12"/>
        <color rgb="FFFF0000"/>
        <rFont val="PF Din Text Cond Pro Light"/>
        <charset val="204"/>
      </rPr>
      <t>_</t>
    </r>
    <r>
      <rPr>
        <sz val="12"/>
        <rFont val="PF Din Text Cond Pro Light"/>
        <charset val="204"/>
      </rPr>
      <t xml:space="preserve"> заключен между Организацией и </t>
    </r>
    <r>
      <rPr>
        <sz val="12"/>
        <color rgb="FFFF0000"/>
        <rFont val="PF Din Text Cond Pro Light"/>
        <charset val="204"/>
      </rPr>
      <t>______</t>
    </r>
    <r>
      <rPr>
        <sz val="12"/>
        <rFont val="PF Din Text Cond Pro Light"/>
        <charset val="204"/>
      </rPr>
      <t>.
Организация планирует осуществлять деятельность по передаче электрической энергии по сетям на территории</t>
    </r>
    <r>
      <rPr>
        <sz val="12"/>
        <color rgb="FFFF0000"/>
        <rFont val="PF Din Text Cond Pro Light"/>
        <charset val="204"/>
      </rPr>
      <t xml:space="preserve"> ________ (Субъект РФ)</t>
    </r>
    <r>
      <rPr>
        <sz val="12"/>
        <rFont val="PF Din Text Cond Pro Light"/>
        <charset val="204"/>
      </rPr>
      <t xml:space="preserve"> в 20</t>
    </r>
    <r>
      <rPr>
        <sz val="12"/>
        <color rgb="FFFF0000"/>
        <rFont val="PF Din Text Cond Pro Light"/>
        <charset val="204"/>
      </rPr>
      <t>__</t>
    </r>
    <r>
      <rPr>
        <sz val="12"/>
        <rFont val="PF Din Text Cond Pro Light"/>
        <charset val="204"/>
      </rPr>
      <t xml:space="preserve"> году с использованием электросетевого имущества, принадлежащего ему: на праве собственности, на основании договоров аренды и субаренды (кабельные линии, трансформаторные подстанции, оборудования трансформаторных подстанций), что подтверждается представленными договорами аренды и субаренды.</t>
    </r>
  </si>
  <si>
    <t>*в случае распределения расходов по видам деятельности и/или регионам - указать базу распределения и процент отнесения расходов на передачу э/э</t>
  </si>
  <si>
    <t>Комментарии Регулятор</t>
  </si>
  <si>
    <t>Принято Регулятором к подтверждению</t>
  </si>
  <si>
    <t>Комментарии Регулятора</t>
  </si>
  <si>
    <t>Принято Регулятором в расчет НВВ на 2023 год, тыс. руб. (без НДС)</t>
  </si>
  <si>
    <t>Принято к подвтерждению Регулятором</t>
  </si>
  <si>
    <t>Комментарии  Регулятора</t>
  </si>
  <si>
    <t>Принято к подтверждению Регулятором</t>
  </si>
  <si>
    <t>Расчет Регулятора</t>
  </si>
  <si>
    <t>комментарии Регулятора</t>
  </si>
  <si>
    <t>Порядковый номер ДПР</t>
  </si>
  <si>
    <t xml:space="preserve">  </t>
  </si>
  <si>
    <r>
      <t xml:space="preserve">Величина фактических расходов из прибыли (в том числе направленных на погашение кредитов) в  </t>
    </r>
    <r>
      <rPr>
        <u/>
        <sz val="8"/>
        <color theme="1"/>
        <rFont val="PF Din Text Cond Pro Light"/>
        <charset val="204"/>
      </rPr>
      <t>2021</t>
    </r>
    <r>
      <rPr>
        <sz val="8"/>
        <color theme="1"/>
        <rFont val="PF Din Text Cond Pro Light"/>
        <charset val="204"/>
      </rPr>
      <t xml:space="preserve"> году, в том числе расчетная предпринимательская прибыль сетевой организации, учтенная регулирующим органом в соответствии с пунктом 34 Основ ценообразования</t>
    </r>
  </si>
  <si>
    <t>Справочно</t>
  </si>
  <si>
    <t>Полезный отпуск региона</t>
  </si>
  <si>
    <r>
      <t>Объем полезного отпуска электрической энергии потребителей услуг на уровне напряжения ВН1 класса напряжения</t>
    </r>
    <r>
      <rPr>
        <b/>
        <sz val="9"/>
        <rFont val="Tahoma"/>
        <family val="2"/>
        <charset val="204"/>
      </rPr>
      <t xml:space="preserve"> 330 кВ и выше</t>
    </r>
  </si>
  <si>
    <r>
      <t xml:space="preserve">Объем полезного отпуска электрической энергии потребителей услуг на уровне напряжения ВН1 класса напряжения </t>
    </r>
    <r>
      <rPr>
        <b/>
        <sz val="9"/>
        <rFont val="Tahoma"/>
        <family val="2"/>
        <charset val="204"/>
      </rPr>
      <t>220 кВ и ниже</t>
    </r>
  </si>
  <si>
    <t>Полезный отпуск потребителей услуг ЕНЭС</t>
  </si>
  <si>
    <t>Проверка прибыли на капитальные вложения (не более 12% от НВВ на содержание сетей)</t>
  </si>
  <si>
    <t>Прибыль от реализации услуг по передаче электрической энергии</t>
  </si>
  <si>
    <t>ФАКТ
(По данным Организации)</t>
  </si>
  <si>
    <t>Период</t>
  </si>
  <si>
    <t>"Предложение Регулятора на "&amp;'0. Анкета'!C14&amp;", тыс. руб. (без НДС)"</t>
  </si>
  <si>
    <t>Фактические затраты</t>
  </si>
  <si>
    <t>Сводные расчеты к пояснительной записки</t>
  </si>
  <si>
    <t>Долгосрочный период регулирования</t>
  </si>
  <si>
    <t>Расчет амортизации по MAX сроку полезного использования за 2022 год</t>
  </si>
  <si>
    <r>
      <t>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2022</t>
    </r>
  </si>
  <si>
    <r>
      <t xml:space="preserve">Фактическое количество условных единиц в </t>
    </r>
    <r>
      <rPr>
        <u/>
        <sz val="8"/>
        <color theme="1"/>
        <rFont val="PF Din Text Cond Pro Light"/>
        <charset val="204"/>
      </rPr>
      <t>2022</t>
    </r>
    <r>
      <rPr>
        <sz val="8"/>
        <color theme="1"/>
        <rFont val="PF Din Text Cond Pro Light"/>
        <charset val="204"/>
      </rPr>
      <t xml:space="preserve"> году </t>
    </r>
  </si>
  <si>
    <r>
      <t xml:space="preserve">Фактическое количество условных единиц в </t>
    </r>
    <r>
      <rPr>
        <u/>
        <sz val="8"/>
        <color theme="1"/>
        <rFont val="PF Din Text Cond Pro Light"/>
        <charset val="204"/>
      </rPr>
      <t>2021</t>
    </r>
    <r>
      <rPr>
        <sz val="8"/>
        <color theme="1"/>
        <rFont val="PF Din Text Cond Pro Light"/>
        <charset val="204"/>
      </rPr>
      <t xml:space="preserve"> году</t>
    </r>
  </si>
  <si>
    <r>
      <t>ИКА</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2022</t>
    </r>
  </si>
  <si>
    <r>
      <t>ИКА</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2022</t>
    </r>
    <r>
      <rPr>
        <sz val="8"/>
        <color theme="1"/>
        <rFont val="PF Din Text Cond Pro Light"/>
        <charset val="204"/>
      </rPr>
      <t xml:space="preserve"> = (УЕ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2022</t>
    </r>
    <r>
      <rPr>
        <sz val="8"/>
        <color theme="1"/>
        <rFont val="PF Din Text Cond Pro Light"/>
        <charset val="204"/>
      </rPr>
      <t xml:space="preserve"> - 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r>
      <rPr>
        <sz val="8"/>
        <color theme="1"/>
        <rFont val="PF Din Text Cond Pro Light"/>
        <charset val="204"/>
      </rPr>
      <t>) / УЕ</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2021</t>
    </r>
  </si>
  <si>
    <r>
      <t>ИПЦ</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2022</t>
    </r>
  </si>
  <si>
    <r>
      <t xml:space="preserve">Фактическое значение индекса потребительских цен в </t>
    </r>
    <r>
      <rPr>
        <u/>
        <sz val="8"/>
        <color theme="1"/>
        <rFont val="PF Din Text Cond Pro Light"/>
        <charset val="204"/>
      </rPr>
      <t>2022</t>
    </r>
    <r>
      <rPr>
        <sz val="8"/>
        <color theme="1"/>
        <rFont val="PF Din Text Cond Pro Light"/>
        <charset val="204"/>
      </rPr>
      <t xml:space="preserve"> году</t>
    </r>
  </si>
  <si>
    <r>
      <t xml:space="preserve">ΔПР </t>
    </r>
    <r>
      <rPr>
        <b/>
        <u/>
        <vertAlign val="subscript"/>
        <sz val="8"/>
        <color theme="1"/>
        <rFont val="PF Din Text Cond Pro Light"/>
        <charset val="204"/>
      </rPr>
      <t>2024</t>
    </r>
  </si>
  <si>
    <r>
      <t>ПР</t>
    </r>
    <r>
      <rPr>
        <i/>
        <vertAlign val="superscript"/>
        <sz val="8"/>
        <color theme="1"/>
        <rFont val="PF Din Text Cond Pro Light"/>
        <charset val="204"/>
      </rPr>
      <t>уст</t>
    </r>
    <r>
      <rPr>
        <sz val="8"/>
        <color theme="1"/>
        <rFont val="PF Din Text Cond Pro Light"/>
        <charset val="204"/>
      </rPr>
      <t xml:space="preserve"> </t>
    </r>
    <r>
      <rPr>
        <u/>
        <vertAlign val="subscript"/>
        <sz val="8"/>
        <color theme="1"/>
        <rFont val="PF Din Text Cond Pro Light"/>
        <charset val="204"/>
      </rPr>
      <t>2022</t>
    </r>
  </si>
  <si>
    <r>
      <t xml:space="preserve">Уровень подконтрольных расходов, установленный регулирующим органом на </t>
    </r>
    <r>
      <rPr>
        <u/>
        <sz val="8"/>
        <color theme="1"/>
        <rFont val="PF Din Text Cond Pro Light"/>
        <charset val="204"/>
      </rPr>
      <t>2022</t>
    </r>
    <r>
      <rPr>
        <sz val="8"/>
        <color theme="1"/>
        <rFont val="PF Din Text Cond Pro Light"/>
        <charset val="204"/>
      </rPr>
      <t xml:space="preserve"> год</t>
    </r>
  </si>
  <si>
    <r>
      <t xml:space="preserve">ΔПР </t>
    </r>
    <r>
      <rPr>
        <b/>
        <u/>
        <vertAlign val="subscript"/>
        <sz val="8"/>
        <color theme="1"/>
        <rFont val="PF Din Text Cond Pro Light"/>
        <charset val="204"/>
      </rPr>
      <t>2024</t>
    </r>
    <r>
      <rPr>
        <b/>
        <sz val="8"/>
        <color theme="1"/>
        <rFont val="PF Din Text Cond Pro Light"/>
        <charset val="204"/>
      </rPr>
      <t xml:space="preserve"> = ПР</t>
    </r>
    <r>
      <rPr>
        <b/>
        <i/>
        <vertAlign val="superscript"/>
        <sz val="8"/>
        <color theme="1"/>
        <rFont val="PF Din Text Cond Pro Light"/>
        <charset val="204"/>
      </rPr>
      <t>уст</t>
    </r>
    <r>
      <rPr>
        <b/>
        <sz val="8"/>
        <color theme="1"/>
        <rFont val="PF Din Text Cond Pro Light"/>
        <charset val="204"/>
      </rPr>
      <t xml:space="preserve"> </t>
    </r>
    <r>
      <rPr>
        <b/>
        <u/>
        <vertAlign val="subscript"/>
        <sz val="8"/>
        <color theme="1"/>
        <rFont val="PF Din Text Cond Pro Light"/>
        <charset val="204"/>
      </rPr>
      <t>2021</t>
    </r>
    <r>
      <rPr>
        <b/>
        <sz val="8"/>
        <color theme="1"/>
        <rFont val="PF Din Text Cond Pro Light"/>
        <charset val="204"/>
      </rPr>
      <t xml:space="preserve"> х (1 - X </t>
    </r>
    <r>
      <rPr>
        <b/>
        <u/>
        <vertAlign val="subscript"/>
        <sz val="8"/>
        <color theme="1"/>
        <rFont val="PF Din Text Cond Pro Light"/>
        <charset val="204"/>
      </rPr>
      <t>2024</t>
    </r>
    <r>
      <rPr>
        <b/>
        <sz val="8"/>
        <color theme="1"/>
        <rFont val="PF Din Text Cond Pro Light"/>
        <charset val="204"/>
      </rPr>
      <t>) х (1 + ИПЦ</t>
    </r>
    <r>
      <rPr>
        <b/>
        <i/>
        <vertAlign val="superscript"/>
        <sz val="8"/>
        <color theme="1"/>
        <rFont val="PF Din Text Cond Pro Light"/>
        <charset val="204"/>
      </rPr>
      <t>ф</t>
    </r>
    <r>
      <rPr>
        <b/>
        <sz val="8"/>
        <color theme="1"/>
        <rFont val="PF Din Text Cond Pro Light"/>
        <charset val="204"/>
      </rPr>
      <t xml:space="preserve"> </t>
    </r>
    <r>
      <rPr>
        <b/>
        <u/>
        <vertAlign val="subscript"/>
        <sz val="8"/>
        <color theme="1"/>
        <rFont val="PF Din Text Cond Pro Light"/>
        <charset val="204"/>
      </rPr>
      <t>2022</t>
    </r>
    <r>
      <rPr>
        <b/>
        <sz val="8"/>
        <color theme="1"/>
        <rFont val="PF Din Text Cond Pro Light"/>
        <charset val="204"/>
      </rPr>
      <t>) х (1 + К</t>
    </r>
    <r>
      <rPr>
        <b/>
        <vertAlign val="subscript"/>
        <sz val="8"/>
        <color theme="1"/>
        <rFont val="PF Din Text Cond Pro Light"/>
        <charset val="204"/>
      </rPr>
      <t>эл</t>
    </r>
    <r>
      <rPr>
        <b/>
        <sz val="8"/>
        <color theme="1"/>
        <rFont val="PF Din Text Cond Pro Light"/>
        <charset val="204"/>
      </rPr>
      <t xml:space="preserve"> х ИКА</t>
    </r>
    <r>
      <rPr>
        <b/>
        <i/>
        <vertAlign val="superscript"/>
        <sz val="8"/>
        <color theme="1"/>
        <rFont val="PF Din Text Cond Pro Light"/>
        <charset val="204"/>
      </rPr>
      <t>ф</t>
    </r>
    <r>
      <rPr>
        <b/>
        <sz val="8"/>
        <color theme="1"/>
        <rFont val="PF Din Text Cond Pro Light"/>
        <charset val="204"/>
      </rPr>
      <t xml:space="preserve"> </t>
    </r>
    <r>
      <rPr>
        <b/>
        <u/>
        <vertAlign val="subscript"/>
        <sz val="8"/>
        <color theme="1"/>
        <rFont val="PF Din Text Cond Pro Light"/>
        <charset val="204"/>
      </rPr>
      <t>2022</t>
    </r>
    <r>
      <rPr>
        <b/>
        <sz val="8"/>
        <color theme="1"/>
        <rFont val="PF Din Text Cond Pro Light"/>
        <charset val="204"/>
      </rPr>
      <t>) - ПР</t>
    </r>
    <r>
      <rPr>
        <b/>
        <i/>
        <vertAlign val="superscript"/>
        <sz val="8"/>
        <color theme="1"/>
        <rFont val="PF Din Text Cond Pro Light"/>
        <charset val="204"/>
      </rPr>
      <t>уст</t>
    </r>
    <r>
      <rPr>
        <b/>
        <sz val="8"/>
        <color theme="1"/>
        <rFont val="PF Din Text Cond Pro Light"/>
        <charset val="204"/>
      </rPr>
      <t xml:space="preserve"> </t>
    </r>
    <r>
      <rPr>
        <b/>
        <u/>
        <vertAlign val="subscript"/>
        <sz val="8"/>
        <color theme="1"/>
        <rFont val="PF Din Text Cond Pro Light"/>
        <charset val="204"/>
      </rPr>
      <t>2022</t>
    </r>
  </si>
  <si>
    <r>
      <t>Индекс потребительских цен за 2022 год определен в соответствии с прогнозом социально-экономического развития Российской Федерации на 20</t>
    </r>
    <r>
      <rPr>
        <sz val="12"/>
        <color rgb="FFFF0000"/>
        <rFont val="PF Din Text Cond Pro Light"/>
        <charset val="204"/>
      </rPr>
      <t>__</t>
    </r>
    <r>
      <rPr>
        <sz val="12"/>
        <rFont val="PF Din Text Cond Pro Light"/>
        <charset val="204"/>
      </rPr>
      <t xml:space="preserve"> год и плановый период </t>
    </r>
    <r>
      <rPr>
        <sz val="12"/>
        <color rgb="FFFF0000"/>
        <rFont val="PF Din Text Cond Pro Light"/>
        <charset val="204"/>
      </rPr>
      <t>20__-20__</t>
    </r>
    <r>
      <rPr>
        <sz val="12"/>
        <rFont val="PF Din Text Cond Pro Light"/>
        <charset val="204"/>
      </rPr>
      <t xml:space="preserve"> годов, опубликованном на сайте Минэкономразвития России от </t>
    </r>
    <r>
      <rPr>
        <sz val="12"/>
        <color rgb="FFFF0000"/>
        <rFont val="PF Din Text Cond Pro Light"/>
        <charset val="204"/>
      </rPr>
      <t>__.__.20__.</t>
    </r>
  </si>
  <si>
    <r>
      <t xml:space="preserve">ΔНР </t>
    </r>
    <r>
      <rPr>
        <b/>
        <u/>
        <vertAlign val="subscript"/>
        <sz val="8"/>
        <color theme="1"/>
        <rFont val="PF Din Text Cond Pro Light"/>
        <charset val="204"/>
      </rPr>
      <t>2024</t>
    </r>
    <r>
      <rPr>
        <b/>
        <sz val="8"/>
        <color theme="1"/>
        <rFont val="PF Din Text Cond Pro Light"/>
        <charset val="204"/>
      </rPr>
      <t xml:space="preserve">  = НР</t>
    </r>
    <r>
      <rPr>
        <b/>
        <i/>
        <vertAlign val="superscript"/>
        <sz val="8"/>
        <color theme="1"/>
        <rFont val="PF Din Text Cond Pro Light"/>
        <charset val="204"/>
      </rPr>
      <t>расх.факт</t>
    </r>
    <r>
      <rPr>
        <b/>
        <sz val="8"/>
        <color theme="1"/>
        <rFont val="PF Din Text Cond Pro Light"/>
        <charset val="204"/>
      </rPr>
      <t xml:space="preserve"> </t>
    </r>
    <r>
      <rPr>
        <b/>
        <u/>
        <vertAlign val="subscript"/>
        <sz val="8"/>
        <color theme="1"/>
        <rFont val="PF Din Text Cond Pro Light"/>
        <charset val="204"/>
      </rPr>
      <t>2022</t>
    </r>
    <r>
      <rPr>
        <b/>
        <sz val="8"/>
        <color theme="1"/>
        <rFont val="PF Din Text Cond Pro Light"/>
        <charset val="204"/>
      </rPr>
      <t xml:space="preserve"> – НР</t>
    </r>
    <r>
      <rPr>
        <b/>
        <i/>
        <vertAlign val="superscript"/>
        <sz val="8"/>
        <color theme="1"/>
        <rFont val="PF Din Text Cond Pro Light"/>
        <charset val="204"/>
      </rPr>
      <t>расх.план</t>
    </r>
    <r>
      <rPr>
        <b/>
        <sz val="8"/>
        <color theme="1"/>
        <rFont val="PF Din Text Cond Pro Light"/>
        <charset val="204"/>
      </rPr>
      <t xml:space="preserve"> </t>
    </r>
    <r>
      <rPr>
        <b/>
        <u/>
        <vertAlign val="subscript"/>
        <sz val="8"/>
        <color theme="1"/>
        <rFont val="PF Din Text Cond Pro Light"/>
        <charset val="204"/>
      </rPr>
      <t>2022</t>
    </r>
  </si>
  <si>
    <r>
      <t>(НР</t>
    </r>
    <r>
      <rPr>
        <b/>
        <i/>
        <vertAlign val="superscript"/>
        <sz val="8"/>
        <color theme="1"/>
        <rFont val="PF Din Text Cond Pro Light"/>
        <charset val="204"/>
      </rPr>
      <t>расх.план</t>
    </r>
    <r>
      <rPr>
        <b/>
        <sz val="8"/>
        <color theme="1"/>
        <rFont val="PF Din Text Cond Pro Light"/>
        <charset val="204"/>
      </rPr>
      <t xml:space="preserve"> </t>
    </r>
    <r>
      <rPr>
        <b/>
        <u/>
        <vertAlign val="subscript"/>
        <sz val="8"/>
        <color theme="1"/>
        <rFont val="PF Din Text Cond Pro Light"/>
        <charset val="204"/>
      </rPr>
      <t>2022</t>
    </r>
    <r>
      <rPr>
        <b/>
        <sz val="8"/>
        <color theme="1"/>
        <rFont val="PF Din Text Cond Pro Light"/>
        <charset val="204"/>
      </rPr>
      <t>)</t>
    </r>
  </si>
  <si>
    <r>
      <t>(НР</t>
    </r>
    <r>
      <rPr>
        <b/>
        <i/>
        <vertAlign val="superscript"/>
        <sz val="8"/>
        <color theme="1"/>
        <rFont val="PF Din Text Cond Pro Light"/>
        <charset val="204"/>
      </rPr>
      <t>расх.факт</t>
    </r>
    <r>
      <rPr>
        <b/>
        <sz val="8"/>
        <color theme="1"/>
        <rFont val="PF Din Text Cond Pro Light"/>
        <charset val="204"/>
      </rPr>
      <t xml:space="preserve"> </t>
    </r>
    <r>
      <rPr>
        <b/>
        <u/>
        <vertAlign val="subscript"/>
        <sz val="8"/>
        <color theme="1"/>
        <rFont val="PF Din Text Cond Pro Light"/>
        <charset val="204"/>
      </rPr>
      <t>2022</t>
    </r>
    <r>
      <rPr>
        <b/>
        <sz val="8"/>
        <color theme="1"/>
        <rFont val="PF Din Text Cond Pro Light"/>
        <charset val="204"/>
      </rPr>
      <t>)</t>
    </r>
  </si>
  <si>
    <r>
      <t xml:space="preserve">(ΔНР </t>
    </r>
    <r>
      <rPr>
        <b/>
        <u/>
        <vertAlign val="subscript"/>
        <sz val="8"/>
        <color theme="1"/>
        <rFont val="PF Din Text Cond Pro Light"/>
        <charset val="204"/>
      </rPr>
      <t>2024</t>
    </r>
    <r>
      <rPr>
        <b/>
        <sz val="8"/>
        <color theme="1"/>
        <rFont val="PF Din Text Cond Pro Light"/>
        <charset val="204"/>
      </rPr>
      <t>)</t>
    </r>
  </si>
  <si>
    <r>
      <t>ΔНВВ</t>
    </r>
    <r>
      <rPr>
        <b/>
        <i/>
        <vertAlign val="superscript"/>
        <sz val="8"/>
        <color theme="1"/>
        <rFont val="PF Din Text Cond Pro Light"/>
        <charset val="204"/>
      </rPr>
      <t>сод</t>
    </r>
    <r>
      <rPr>
        <b/>
        <sz val="8"/>
        <color theme="1"/>
        <rFont val="PF Din Text Cond Pro Light"/>
        <charset val="204"/>
      </rPr>
      <t xml:space="preserve"> </t>
    </r>
    <r>
      <rPr>
        <b/>
        <u/>
        <vertAlign val="subscript"/>
        <sz val="8"/>
        <color theme="1"/>
        <rFont val="PF Din Text Cond Pro Light"/>
        <charset val="204"/>
      </rPr>
      <t>2024</t>
    </r>
    <r>
      <rPr>
        <b/>
        <sz val="8"/>
        <color theme="1"/>
        <rFont val="PF Din Text Cond Pro Light"/>
        <charset val="204"/>
      </rPr>
      <t xml:space="preserve"> = НВВ</t>
    </r>
    <r>
      <rPr>
        <b/>
        <i/>
        <vertAlign val="superscript"/>
        <sz val="8"/>
        <color theme="1"/>
        <rFont val="PF Din Text Cond Pro Light"/>
        <charset val="204"/>
      </rPr>
      <t>сод</t>
    </r>
    <r>
      <rPr>
        <b/>
        <sz val="8"/>
        <color theme="1"/>
        <rFont val="PF Din Text Cond Pro Light"/>
        <charset val="204"/>
      </rPr>
      <t xml:space="preserve"> </t>
    </r>
    <r>
      <rPr>
        <b/>
        <u/>
        <vertAlign val="subscript"/>
        <sz val="8"/>
        <color theme="1"/>
        <rFont val="PF Din Text Cond Pro Light"/>
        <charset val="204"/>
      </rPr>
      <t>2022</t>
    </r>
    <r>
      <rPr>
        <b/>
        <sz val="8"/>
        <color theme="1"/>
        <rFont val="PF Din Text Cond Pro Light"/>
        <charset val="204"/>
      </rPr>
      <t xml:space="preserve"> - НВВ</t>
    </r>
    <r>
      <rPr>
        <b/>
        <i/>
        <vertAlign val="superscript"/>
        <sz val="8"/>
        <color theme="1"/>
        <rFont val="PF Din Text Cond Pro Light"/>
        <charset val="204"/>
      </rPr>
      <t>ф</t>
    </r>
    <r>
      <rPr>
        <b/>
        <sz val="8"/>
        <color theme="1"/>
        <rFont val="PF Din Text Cond Pro Light"/>
        <charset val="204"/>
      </rPr>
      <t xml:space="preserve"> </t>
    </r>
    <r>
      <rPr>
        <b/>
        <u/>
        <vertAlign val="subscript"/>
        <sz val="8"/>
        <color theme="1"/>
        <rFont val="PF Din Text Cond Pro Light"/>
        <charset val="204"/>
      </rPr>
      <t>2022</t>
    </r>
  </si>
  <si>
    <r>
      <t xml:space="preserve">НВВ в части содержания электрических сетей, установленная на </t>
    </r>
    <r>
      <rPr>
        <u/>
        <sz val="8"/>
        <color theme="1"/>
        <rFont val="PF Din Text Cond Pro Light"/>
        <charset val="204"/>
      </rPr>
      <t>2022</t>
    </r>
    <r>
      <rPr>
        <sz val="8"/>
        <color theme="1"/>
        <rFont val="PF Din Text Cond Pro Light"/>
        <charset val="204"/>
      </rPr>
      <t xml:space="preserve"> год</t>
    </r>
  </si>
  <si>
    <r>
      <t>ΔНВВ</t>
    </r>
    <r>
      <rPr>
        <b/>
        <i/>
        <vertAlign val="superscript"/>
        <sz val="8"/>
        <color theme="1"/>
        <rFont val="PF Din Text Cond Pro Light"/>
        <charset val="204"/>
      </rPr>
      <t>сод</t>
    </r>
    <r>
      <rPr>
        <b/>
        <sz val="8"/>
        <color theme="1"/>
        <rFont val="PF Din Text Cond Pro Light"/>
        <charset val="204"/>
      </rPr>
      <t xml:space="preserve"> </t>
    </r>
    <r>
      <rPr>
        <b/>
        <u/>
        <vertAlign val="subscript"/>
        <sz val="8"/>
        <color theme="1"/>
        <rFont val="PF Din Text Cond Pro Light"/>
        <charset val="204"/>
      </rPr>
      <t>2024</t>
    </r>
  </si>
  <si>
    <r>
      <t>НВВ</t>
    </r>
    <r>
      <rPr>
        <i/>
        <vertAlign val="superscript"/>
        <sz val="8"/>
        <color theme="1"/>
        <rFont val="PF Din Text Cond Pro Light"/>
        <charset val="204"/>
      </rPr>
      <t>сод</t>
    </r>
    <r>
      <rPr>
        <sz val="8"/>
        <color theme="1"/>
        <rFont val="PF Din Text Cond Pro Light"/>
        <charset val="204"/>
      </rPr>
      <t xml:space="preserve"> </t>
    </r>
    <r>
      <rPr>
        <u/>
        <vertAlign val="subscript"/>
        <sz val="8"/>
        <color theme="1"/>
        <rFont val="PF Din Text Cond Pro Light"/>
        <charset val="204"/>
      </rPr>
      <t>2022</t>
    </r>
  </si>
  <si>
    <r>
      <t>НВВ</t>
    </r>
    <r>
      <rPr>
        <i/>
        <vertAlign val="superscript"/>
        <sz val="8"/>
        <color theme="1"/>
        <rFont val="PF Din Text Cond Pro Light"/>
        <charset val="204"/>
      </rPr>
      <t>ф</t>
    </r>
    <r>
      <rPr>
        <sz val="8"/>
        <color theme="1"/>
        <rFont val="PF Din Text Cond Pro Light"/>
        <charset val="204"/>
      </rPr>
      <t xml:space="preserve"> </t>
    </r>
    <r>
      <rPr>
        <u/>
        <vertAlign val="subscript"/>
        <sz val="8"/>
        <color theme="1"/>
        <rFont val="PF Din Text Cond Pro Light"/>
        <charset val="204"/>
      </rPr>
      <t>2022</t>
    </r>
  </si>
  <si>
    <r>
      <t xml:space="preserve">Фактический объем выручки за услуги по передаче электрической энергии за </t>
    </r>
    <r>
      <rPr>
        <u/>
        <sz val="8"/>
        <color theme="1"/>
        <rFont val="PF Din Text Cond Pro Light"/>
        <charset val="204"/>
      </rPr>
      <t>2022</t>
    </r>
    <r>
      <rPr>
        <sz val="8"/>
        <color theme="1"/>
        <rFont val="PF Din Text Cond Pro Light"/>
        <charset val="204"/>
      </rPr>
      <t xml:space="preserve"> год в части содержания электрических сетей (с учетом фактически недополученной выручки по зависящим от сетевой организации причинам), определяемый исходя из установленных на </t>
    </r>
    <r>
      <rPr>
        <u/>
        <sz val="8"/>
        <color theme="1"/>
        <rFont val="PF Din Text Cond Pro Light"/>
        <charset val="204"/>
      </rPr>
      <t>2022</t>
    </r>
    <r>
      <rPr>
        <sz val="8"/>
        <color theme="1"/>
        <rFont val="PF Din Text Cond Pro Light"/>
        <charset val="204"/>
      </rPr>
      <t xml:space="preserve"> год тарифов на услуги по передаче электрической энергии без учета ставки, используемой для целей определения расходов на оплату нормативных потерь электрической энергии при ее передаче по электрическим сетям, и фактических объемов оказанных услуг</t>
    </r>
  </si>
  <si>
    <r>
      <t xml:space="preserve">ПО </t>
    </r>
    <r>
      <rPr>
        <b/>
        <u/>
        <vertAlign val="subscript"/>
        <sz val="8"/>
        <color rgb="FF000000"/>
        <rFont val="PF Din Text Cond Pro Light"/>
        <charset val="204"/>
      </rPr>
      <t>2024</t>
    </r>
    <r>
      <rPr>
        <b/>
        <sz val="8"/>
        <color rgb="FF000000"/>
        <rFont val="PF Din Text Cond Pro Light"/>
        <charset val="204"/>
      </rPr>
      <t xml:space="preserve"> = min {П </t>
    </r>
    <r>
      <rPr>
        <b/>
        <vertAlign val="superscript"/>
        <sz val="8"/>
        <color rgb="FF000000"/>
        <rFont val="PF Din Text Cond Pro Light"/>
        <charset val="204"/>
      </rPr>
      <t>ф</t>
    </r>
    <r>
      <rPr>
        <b/>
        <sz val="8"/>
        <color rgb="FF000000"/>
        <rFont val="PF Din Text Cond Pro Light"/>
        <charset val="204"/>
      </rPr>
      <t xml:space="preserve"> </t>
    </r>
    <r>
      <rPr>
        <b/>
        <u/>
        <vertAlign val="subscript"/>
        <sz val="8"/>
        <color rgb="FF000000"/>
        <rFont val="PF Din Text Cond Pro Light"/>
        <charset val="204"/>
      </rPr>
      <t>2022</t>
    </r>
    <r>
      <rPr>
        <b/>
        <sz val="8"/>
        <color rgb="FF000000"/>
        <rFont val="PF Din Text Cond Pro Light"/>
        <charset val="204"/>
      </rPr>
      <t xml:space="preserve">;N </t>
    </r>
    <r>
      <rPr>
        <b/>
        <u/>
        <vertAlign val="subscript"/>
        <sz val="8"/>
        <color rgb="FF000000"/>
        <rFont val="PF Din Text Cond Pro Light"/>
        <charset val="204"/>
      </rPr>
      <t>2022</t>
    </r>
    <r>
      <rPr>
        <b/>
        <sz val="8"/>
        <color rgb="FF000000"/>
        <rFont val="PF Din Text Cond Pro Light"/>
        <charset val="204"/>
      </rPr>
      <t xml:space="preserve"> х Э </t>
    </r>
    <r>
      <rPr>
        <b/>
        <vertAlign val="superscript"/>
        <sz val="8"/>
        <color rgb="FF000000"/>
        <rFont val="PF Din Text Cond Pro Light"/>
        <charset val="204"/>
      </rPr>
      <t>отп.ф</t>
    </r>
    <r>
      <rPr>
        <b/>
        <sz val="8"/>
        <color rgb="FF000000"/>
        <rFont val="PF Din Text Cond Pro Light"/>
        <charset val="204"/>
      </rPr>
      <t xml:space="preserve"> </t>
    </r>
    <r>
      <rPr>
        <b/>
        <u/>
        <vertAlign val="subscript"/>
        <sz val="8"/>
        <color rgb="FF000000"/>
        <rFont val="PF Din Text Cond Pro Light"/>
        <charset val="204"/>
      </rPr>
      <t>2022</t>
    </r>
    <r>
      <rPr>
        <b/>
        <sz val="8"/>
        <color rgb="FF000000"/>
        <rFont val="PF Din Text Cond Pro Light"/>
        <charset val="204"/>
      </rPr>
      <t xml:space="preserve">} х ЦП </t>
    </r>
    <r>
      <rPr>
        <b/>
        <vertAlign val="superscript"/>
        <sz val="8"/>
        <color rgb="FF000000"/>
        <rFont val="PF Din Text Cond Pro Light"/>
        <charset val="204"/>
      </rPr>
      <t>ф</t>
    </r>
    <r>
      <rPr>
        <b/>
        <sz val="8"/>
        <color rgb="FF000000"/>
        <rFont val="PF Din Text Cond Pro Light"/>
        <charset val="204"/>
      </rPr>
      <t xml:space="preserve"> </t>
    </r>
    <r>
      <rPr>
        <b/>
        <u/>
        <vertAlign val="subscript"/>
        <sz val="8"/>
        <color rgb="FF000000"/>
        <rFont val="PF Din Text Cond Pro Light"/>
        <charset val="204"/>
      </rPr>
      <t>2022</t>
    </r>
    <r>
      <rPr>
        <b/>
        <sz val="8"/>
        <color rgb="FF000000"/>
        <rFont val="PF Din Text Cond Pro Light"/>
        <charset val="204"/>
      </rPr>
      <t xml:space="preserve"> 
- Э </t>
    </r>
    <r>
      <rPr>
        <b/>
        <vertAlign val="superscript"/>
        <sz val="8"/>
        <color rgb="FF000000"/>
        <rFont val="PF Din Text Cond Pro Light"/>
        <charset val="204"/>
      </rPr>
      <t>отп.ф</t>
    </r>
    <r>
      <rPr>
        <b/>
        <sz val="8"/>
        <color rgb="FF000000"/>
        <rFont val="PF Din Text Cond Pro Light"/>
        <charset val="204"/>
      </rPr>
      <t xml:space="preserve"> </t>
    </r>
    <r>
      <rPr>
        <b/>
        <u/>
        <vertAlign val="subscript"/>
        <sz val="8"/>
        <color rgb="FF000000"/>
        <rFont val="PF Din Text Cond Pro Light"/>
        <charset val="204"/>
      </rPr>
      <t>2022</t>
    </r>
    <r>
      <rPr>
        <b/>
        <sz val="8"/>
        <color rgb="FF000000"/>
        <rFont val="PF Din Text Cond Pro Light"/>
        <charset val="204"/>
      </rPr>
      <t xml:space="preserve"> х ЦП </t>
    </r>
    <r>
      <rPr>
        <b/>
        <u/>
        <vertAlign val="subscript"/>
        <sz val="8"/>
        <color rgb="FF000000"/>
        <rFont val="PF Din Text Cond Pro Light"/>
        <charset val="204"/>
      </rPr>
      <t>2022</t>
    </r>
    <r>
      <rPr>
        <b/>
        <sz val="8"/>
        <color rgb="FF000000"/>
        <rFont val="PF Din Text Cond Pro Light"/>
        <charset val="204"/>
      </rPr>
      <t xml:space="preserve"> х N </t>
    </r>
    <r>
      <rPr>
        <b/>
        <u/>
        <vertAlign val="subscript"/>
        <sz val="8"/>
        <color rgb="FF000000"/>
        <rFont val="PF Din Text Cond Pro Light"/>
        <charset val="204"/>
      </rPr>
      <t>2022</t>
    </r>
  </si>
  <si>
    <r>
      <t xml:space="preserve">Величина фактических потерь электрической энергии в сетях в </t>
    </r>
    <r>
      <rPr>
        <u/>
        <sz val="8"/>
        <color rgb="FF000000"/>
        <rFont val="PF Din Text Cond Pro Light"/>
        <charset val="204"/>
      </rPr>
      <t>2022</t>
    </r>
    <r>
      <rPr>
        <sz val="8"/>
        <color rgb="FF000000"/>
        <rFont val="PF Din Text Cond Pro Light"/>
        <charset val="204"/>
      </rPr>
      <t>году</t>
    </r>
  </si>
  <si>
    <r>
      <t xml:space="preserve">Фактический объем отпуска электрической энергии в сеть сетевой организации, определяемый регулирующими органами за </t>
    </r>
    <r>
      <rPr>
        <u/>
        <sz val="8"/>
        <color rgb="FF000000"/>
        <rFont val="PF Din Text Cond Pro Light"/>
        <charset val="204"/>
      </rPr>
      <t>2022</t>
    </r>
    <r>
      <rPr>
        <sz val="8"/>
        <color rgb="FF000000"/>
        <rFont val="PF Din Text Cond Pro Light"/>
        <charset val="204"/>
      </rPr>
      <t>-й год долгосрочного периода регулирования</t>
    </r>
  </si>
  <si>
    <r>
      <t xml:space="preserve">Средневзвешенная фактическая цена покупки электрической энергии (мощности) в целях компенсации потерь электрической энергии в сетях в </t>
    </r>
    <r>
      <rPr>
        <u/>
        <sz val="8"/>
        <color rgb="FF000000"/>
        <rFont val="PF Din Text Cond Pro Light"/>
        <charset val="204"/>
      </rPr>
      <t>2022</t>
    </r>
    <r>
      <rPr>
        <sz val="8"/>
        <color rgb="FF000000"/>
        <rFont val="PF Din Text Cond Pro Light"/>
        <charset val="204"/>
      </rPr>
      <t xml:space="preserve"> году</t>
    </r>
  </si>
  <si>
    <r>
      <t xml:space="preserve">Прогнозная цена покупки потерь электрической энергии (мощности) в сетях в </t>
    </r>
    <r>
      <rPr>
        <u/>
        <sz val="8"/>
        <color rgb="FF000000"/>
        <rFont val="PF Din Text Cond Pro Light"/>
        <charset val="204"/>
      </rPr>
      <t>2022</t>
    </r>
    <r>
      <rPr>
        <sz val="8"/>
        <color rgb="FF000000"/>
        <rFont val="PF Din Text Cond Pro Light"/>
        <charset val="204"/>
      </rPr>
      <t xml:space="preserve"> году, учтенная при установлении тарифов на услуги по передаче электрической энергии по электрическим сетям, принадлежащим на праве собственности или ином законном основании сетевым организациям</t>
    </r>
  </si>
  <si>
    <r>
      <t xml:space="preserve">Уровень потерь электрической энергии при ее передаче по электрическим сетям, установленный регулирующим органом на долгосрочный период регулирования, к которому относится </t>
    </r>
    <r>
      <rPr>
        <u/>
        <sz val="8"/>
        <color rgb="FF000000"/>
        <rFont val="PF Din Text Cond Pro Light"/>
        <charset val="204"/>
      </rPr>
      <t>2022</t>
    </r>
    <r>
      <rPr>
        <sz val="8"/>
        <color rgb="FF000000"/>
        <rFont val="PF Din Text Cond Pro Light"/>
        <charset val="204"/>
      </rPr>
      <t xml:space="preserve"> год, в соответствии с пунктом 40(1) Основ ценообразования</t>
    </r>
  </si>
  <si>
    <r>
      <t xml:space="preserve">N </t>
    </r>
    <r>
      <rPr>
        <u/>
        <vertAlign val="subscript"/>
        <sz val="8"/>
        <color rgb="FF000000"/>
        <rFont val="PF Din Text Cond Pro Light"/>
        <charset val="204"/>
      </rPr>
      <t>2022</t>
    </r>
  </si>
  <si>
    <r>
      <t xml:space="preserve">ПО </t>
    </r>
    <r>
      <rPr>
        <b/>
        <u/>
        <vertAlign val="subscript"/>
        <sz val="8"/>
        <color theme="1"/>
        <rFont val="PF Din Text Cond Pro Light"/>
        <charset val="204"/>
      </rPr>
      <t>2024</t>
    </r>
  </si>
  <si>
    <r>
      <t xml:space="preserve">П </t>
    </r>
    <r>
      <rPr>
        <vertAlign val="superscript"/>
        <sz val="8"/>
        <color rgb="FF000000"/>
        <rFont val="PF Din Text Cond Pro Light"/>
        <charset val="204"/>
      </rPr>
      <t>ф</t>
    </r>
    <r>
      <rPr>
        <sz val="8"/>
        <color rgb="FF000000"/>
        <rFont val="PF Din Text Cond Pro Light"/>
        <charset val="204"/>
      </rPr>
      <t xml:space="preserve"> </t>
    </r>
    <r>
      <rPr>
        <u/>
        <vertAlign val="subscript"/>
        <sz val="8"/>
        <color rgb="FF000000"/>
        <rFont val="PF Din Text Cond Pro Light"/>
        <charset val="204"/>
      </rPr>
      <t>2022</t>
    </r>
  </si>
  <si>
    <r>
      <t xml:space="preserve">Э </t>
    </r>
    <r>
      <rPr>
        <vertAlign val="superscript"/>
        <sz val="8"/>
        <color rgb="FF000000"/>
        <rFont val="PF Din Text Cond Pro Light"/>
        <charset val="204"/>
      </rPr>
      <t>отп.ф</t>
    </r>
    <r>
      <rPr>
        <sz val="8"/>
        <color rgb="FF000000"/>
        <rFont val="PF Din Text Cond Pro Light"/>
        <charset val="204"/>
      </rPr>
      <t xml:space="preserve"> </t>
    </r>
    <r>
      <rPr>
        <u/>
        <vertAlign val="subscript"/>
        <sz val="8"/>
        <color rgb="FF000000"/>
        <rFont val="PF Din Text Cond Pro Light"/>
        <charset val="204"/>
      </rPr>
      <t>2022</t>
    </r>
  </si>
  <si>
    <r>
      <t xml:space="preserve">ЦП </t>
    </r>
    <r>
      <rPr>
        <vertAlign val="superscript"/>
        <sz val="8"/>
        <color rgb="FF000000"/>
        <rFont val="PF Din Text Cond Pro Light"/>
        <charset val="204"/>
      </rPr>
      <t>ф</t>
    </r>
    <r>
      <rPr>
        <sz val="8"/>
        <color rgb="FF000000"/>
        <rFont val="PF Din Text Cond Pro Light"/>
        <charset val="204"/>
      </rPr>
      <t xml:space="preserve"> </t>
    </r>
    <r>
      <rPr>
        <u/>
        <vertAlign val="subscript"/>
        <sz val="8"/>
        <color rgb="FF000000"/>
        <rFont val="PF Din Text Cond Pro Light"/>
        <charset val="204"/>
      </rPr>
      <t>2022</t>
    </r>
  </si>
  <si>
    <r>
      <t xml:space="preserve">ЦП </t>
    </r>
    <r>
      <rPr>
        <u/>
        <vertAlign val="subscript"/>
        <sz val="8"/>
        <color rgb="FF000000"/>
        <rFont val="PF Din Text Cond Pro Light"/>
        <charset val="204"/>
      </rPr>
      <t>2022</t>
    </r>
  </si>
  <si>
    <r>
      <t>В</t>
    </r>
    <r>
      <rPr>
        <b/>
        <i/>
        <vertAlign val="superscript"/>
        <sz val="8"/>
        <color theme="1"/>
        <rFont val="PF Din Text Cond Pro Light"/>
        <charset val="204"/>
      </rPr>
      <t>коррИП</t>
    </r>
    <r>
      <rPr>
        <b/>
        <sz val="8"/>
        <color theme="1"/>
        <rFont val="PF Din Text Cond Pro Light"/>
        <charset val="204"/>
      </rPr>
      <t xml:space="preserve"> </t>
    </r>
    <r>
      <rPr>
        <b/>
        <u/>
        <vertAlign val="subscript"/>
        <sz val="8"/>
        <color theme="1"/>
        <rFont val="PF Din Text Cond Pro Light"/>
        <charset val="204"/>
      </rPr>
      <t>2024</t>
    </r>
    <r>
      <rPr>
        <b/>
        <sz val="8"/>
        <color theme="1"/>
        <rFont val="PF Din Text Cond Pro Light"/>
        <charset val="204"/>
      </rPr>
      <t xml:space="preserve"> = Σj=1, 2 НР ИП </t>
    </r>
    <r>
      <rPr>
        <b/>
        <u/>
        <sz val="8"/>
        <color theme="1"/>
        <rFont val="PF Din Text Cond Pro Light"/>
        <charset val="204"/>
      </rPr>
      <t>2022</t>
    </r>
    <r>
      <rPr>
        <b/>
        <sz val="8"/>
        <color theme="1"/>
        <rFont val="PF Din Text Cond Pro Light"/>
        <charset val="204"/>
      </rPr>
      <t xml:space="preserve"> х (ИП факт </t>
    </r>
    <r>
      <rPr>
        <b/>
        <u/>
        <sz val="8"/>
        <color theme="1"/>
        <rFont val="PF Din Text Cond Pro Light"/>
        <charset val="204"/>
      </rPr>
      <t>2022</t>
    </r>
    <r>
      <rPr>
        <b/>
        <sz val="8"/>
        <color theme="1"/>
        <rFont val="PF Din Text Cond Pro Light"/>
        <charset val="204"/>
      </rPr>
      <t xml:space="preserve"> / ИП заяв </t>
    </r>
    <r>
      <rPr>
        <b/>
        <u/>
        <sz val="8"/>
        <color theme="1"/>
        <rFont val="PF Din Text Cond Pro Light"/>
        <charset val="204"/>
      </rPr>
      <t>2022</t>
    </r>
    <r>
      <rPr>
        <b/>
        <sz val="8"/>
        <color theme="1"/>
        <rFont val="PF Din Text Cond Pro Light"/>
        <charset val="204"/>
      </rPr>
      <t xml:space="preserve"> - 1)</t>
    </r>
  </si>
  <si>
    <r>
      <t>В</t>
    </r>
    <r>
      <rPr>
        <b/>
        <i/>
        <vertAlign val="superscript"/>
        <sz val="8"/>
        <color theme="1"/>
        <rFont val="PF Din Text Cond Pro Light"/>
        <charset val="204"/>
      </rPr>
      <t>коррИП</t>
    </r>
    <r>
      <rPr>
        <b/>
        <sz val="8"/>
        <color theme="1"/>
        <rFont val="PF Din Text Cond Pro Light"/>
        <charset val="204"/>
      </rPr>
      <t xml:space="preserve"> </t>
    </r>
    <r>
      <rPr>
        <b/>
        <u/>
        <vertAlign val="subscript"/>
        <sz val="8"/>
        <color theme="1"/>
        <rFont val="PF Din Text Cond Pro Light"/>
        <charset val="204"/>
      </rPr>
      <t>2024</t>
    </r>
  </si>
  <si>
    <r>
      <t>НР</t>
    </r>
    <r>
      <rPr>
        <i/>
        <vertAlign val="superscript"/>
        <sz val="8"/>
        <color rgb="FF000000"/>
        <rFont val="PF Din Text Cond Pro Light"/>
        <charset val="204"/>
      </rPr>
      <t>ИП</t>
    </r>
    <r>
      <rPr>
        <sz val="8"/>
        <color rgb="FF000000"/>
        <rFont val="PF Din Text Cond Pro Light"/>
        <charset val="204"/>
      </rPr>
      <t xml:space="preserve"> </t>
    </r>
    <r>
      <rPr>
        <u/>
        <vertAlign val="subscript"/>
        <sz val="8"/>
        <color rgb="FF000000"/>
        <rFont val="PF Din Text Cond Pro Light"/>
        <charset val="204"/>
      </rPr>
      <t>2022</t>
    </r>
  </si>
  <si>
    <r>
      <t>ИП</t>
    </r>
    <r>
      <rPr>
        <i/>
        <vertAlign val="superscript"/>
        <sz val="8"/>
        <color rgb="FF000000"/>
        <rFont val="PF Din Text Cond Pro Light"/>
        <charset val="204"/>
      </rPr>
      <t>заяв</t>
    </r>
    <r>
      <rPr>
        <sz val="8"/>
        <color rgb="FF000000"/>
        <rFont val="PF Din Text Cond Pro Light"/>
        <charset val="204"/>
      </rPr>
      <t xml:space="preserve"> </t>
    </r>
    <r>
      <rPr>
        <u/>
        <vertAlign val="subscript"/>
        <sz val="8"/>
        <color rgb="FF000000"/>
        <rFont val="PF Din Text Cond Pro Light"/>
        <charset val="204"/>
      </rPr>
      <t>2022</t>
    </r>
  </si>
  <si>
    <r>
      <t>ИП</t>
    </r>
    <r>
      <rPr>
        <i/>
        <vertAlign val="superscript"/>
        <sz val="8"/>
        <color rgb="FF000000"/>
        <rFont val="PF Din Text Cond Pro Light"/>
        <charset val="204"/>
      </rPr>
      <t>факт</t>
    </r>
    <r>
      <rPr>
        <sz val="8"/>
        <color rgb="FF000000"/>
        <rFont val="PF Din Text Cond Pro Light"/>
        <charset val="204"/>
      </rPr>
      <t xml:space="preserve"> </t>
    </r>
    <r>
      <rPr>
        <u/>
        <vertAlign val="subscript"/>
        <sz val="8"/>
        <color rgb="FF000000"/>
        <rFont val="PF Din Text Cond Pro Light"/>
        <charset val="204"/>
      </rPr>
      <t>2022</t>
    </r>
  </si>
  <si>
    <r>
      <t xml:space="preserve">Объем фактического финансирования инвестиционной программы за счет собственных средств за </t>
    </r>
    <r>
      <rPr>
        <u/>
        <sz val="8"/>
        <color theme="1"/>
        <rFont val="PF Din Text Cond Pro Light"/>
        <charset val="204"/>
      </rPr>
      <t>2022</t>
    </r>
    <r>
      <rPr>
        <sz val="8"/>
        <color theme="1"/>
        <rFont val="PF Din Text Cond Pro Light"/>
        <charset val="204"/>
      </rPr>
      <t xml:space="preserve"> год</t>
    </r>
  </si>
  <si>
    <r>
      <t xml:space="preserve">Плановый размер финансирования инвестиционной программы за счет собственных средств на </t>
    </r>
    <r>
      <rPr>
        <u/>
        <sz val="8"/>
        <color theme="1"/>
        <rFont val="PF Din Text Cond Pro Light"/>
        <charset val="204"/>
      </rPr>
      <t>2022</t>
    </r>
    <r>
      <rPr>
        <sz val="8"/>
        <color theme="1"/>
        <rFont val="PF Din Text Cond Pro Light"/>
        <charset val="204"/>
      </rPr>
      <t xml:space="preserve"> год</t>
    </r>
  </si>
  <si>
    <r>
      <t xml:space="preserve">Расчетная величина собственных средств для финансирования инвестиционной программы, учтенная при установлении тарифов в </t>
    </r>
    <r>
      <rPr>
        <u/>
        <sz val="8"/>
        <color theme="1"/>
        <rFont val="PF Din Text Cond Pro Light"/>
        <charset val="204"/>
      </rPr>
      <t>2022</t>
    </r>
    <r>
      <rPr>
        <sz val="8"/>
        <color theme="1"/>
        <rFont val="PF Din Text Cond Pro Light"/>
        <charset val="204"/>
      </rPr>
      <t xml:space="preserve"> году</t>
    </r>
  </si>
  <si>
    <t>2024 год</t>
  </si>
  <si>
    <t>Показатели финансового состояния*</t>
  </si>
  <si>
    <t>*</t>
  </si>
  <si>
    <t>Предоставить полный расчет с гиперссылками</t>
  </si>
  <si>
    <t>Факт, 2021 год (отражен в отчете об исполнении сметы расходов)</t>
  </si>
  <si>
    <t>Факт, 2020 год (отражен в отчете об исполнении сметы расходов)</t>
  </si>
  <si>
    <t>Факт, 2019 год (отражен в отчете об исполнении сметы расходов)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</si>
</sst>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0.0%"/>
    <numFmt numFmtId="165" formatCode="#,##0.0000"/>
    <numFmt numFmtId="166" formatCode="0.0"/>
    <numFmt numFmtId="167" formatCode="#,##0.000"/>
    <numFmt numFmtId="168" formatCode="#,##0.0"/>
    <numFmt numFmtId="169" formatCode="0.000%"/>
    <numFmt numFmtId="170" formatCode="#,##0.00000"/>
    <numFmt numFmtId="171" formatCode="#,##0.000000"/>
  </numFmts>
  <fonts count="220">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rgb="FF000000"/>
      <name val="Arial Cyr"/>
    </font>
    <font>
      <sz val="9"/>
      <name val="Tahoma"/>
      <family val="2"/>
      <charset val="204"/>
    </font>
    <font>
      <i/>
      <sz val="10"/>
      <color indexed="8"/>
      <name val="Times New Roman"/>
      <family val="1"/>
      <charset val="204"/>
    </font>
    <font>
      <sz val="10"/>
      <name val="Arial Cyr"/>
      <charset val="204"/>
    </font>
    <font>
      <i/>
      <sz val="12"/>
      <color indexed="8"/>
      <name val="Times New Roman"/>
      <family val="1"/>
      <charset val="204"/>
    </font>
    <font>
      <b/>
      <sz val="14"/>
      <color indexed="8"/>
      <name val="Times New Roman"/>
      <family val="1"/>
      <charset val="204"/>
    </font>
    <font>
      <i/>
      <sz val="14"/>
      <color indexed="8"/>
      <name val="Times New Roman"/>
      <family val="1"/>
      <charset val="204"/>
    </font>
    <font>
      <i/>
      <sz val="8"/>
      <color theme="1"/>
      <name val="Times New Roman"/>
      <family val="1"/>
      <charset val="204"/>
    </font>
    <font>
      <sz val="9"/>
      <color indexed="11"/>
      <name val="Tahoma"/>
      <family val="2"/>
      <charset val="204"/>
    </font>
    <font>
      <sz val="9"/>
      <color indexed="8"/>
      <name val="Times New Roman"/>
      <family val="1"/>
      <charset val="204"/>
    </font>
    <font>
      <sz val="12"/>
      <name val="Arial"/>
      <family val="2"/>
      <charset val="204"/>
    </font>
    <font>
      <sz val="11"/>
      <color theme="1"/>
      <name val="Times New Roman"/>
      <family val="1"/>
      <charset val="204"/>
    </font>
    <font>
      <sz val="9"/>
      <name val="Times New Roman"/>
      <family val="1"/>
      <charset val="204"/>
    </font>
    <font>
      <sz val="9"/>
      <color indexed="8"/>
      <name val="Tahoma"/>
      <family val="2"/>
      <charset val="204"/>
    </font>
    <font>
      <u/>
      <sz val="10"/>
      <color indexed="12"/>
      <name val="Times New Roman Cyr"/>
      <charset val="204"/>
    </font>
    <font>
      <u/>
      <sz val="14"/>
      <color indexed="12"/>
      <name val="Times New Roman"/>
      <family val="1"/>
      <charset val="204"/>
    </font>
    <font>
      <i/>
      <sz val="10"/>
      <name val="Arial Cyr"/>
      <charset val="204"/>
    </font>
    <font>
      <sz val="9"/>
      <color theme="0"/>
      <name val="Tahoma"/>
      <family val="2"/>
      <charset val="204"/>
    </font>
    <font>
      <u/>
      <sz val="9"/>
      <color indexed="12"/>
      <name val="Tahoma"/>
      <family val="2"/>
      <charset val="204"/>
    </font>
    <font>
      <b/>
      <sz val="18"/>
      <name val="Times New Roman"/>
      <family val="1"/>
      <charset val="204"/>
    </font>
    <font>
      <b/>
      <sz val="10"/>
      <name val="Times New Roman"/>
      <family val="1"/>
      <charset val="204"/>
    </font>
    <font>
      <sz val="10"/>
      <name val="Times New Roman"/>
      <family val="1"/>
      <charset val="204"/>
    </font>
    <font>
      <sz val="8"/>
      <name val="Times New Roman"/>
      <family val="1"/>
      <charset val="204"/>
    </font>
    <font>
      <b/>
      <sz val="8"/>
      <name val="Times New Roman"/>
      <family val="1"/>
      <charset val="204"/>
    </font>
    <font>
      <u/>
      <sz val="10"/>
      <color theme="10"/>
      <name val="Arial Cyr"/>
      <charset val="204"/>
    </font>
    <font>
      <sz val="10"/>
      <color indexed="9"/>
      <name val="Tahoma"/>
      <family val="2"/>
      <charset val="204"/>
    </font>
    <font>
      <sz val="10"/>
      <name val="Tahoma"/>
      <family val="2"/>
      <charset val="204"/>
    </font>
    <font>
      <sz val="10"/>
      <color indexed="10"/>
      <name val="Tahoma"/>
      <family val="2"/>
      <charset val="204"/>
    </font>
    <font>
      <sz val="9"/>
      <color indexed="9"/>
      <name val="Tahoma"/>
      <family val="2"/>
      <charset val="204"/>
    </font>
    <font>
      <b/>
      <sz val="9"/>
      <name val="Tahoma"/>
      <family val="2"/>
      <charset val="204"/>
    </font>
    <font>
      <sz val="9"/>
      <color indexed="55"/>
      <name val="Tahoma"/>
      <family val="2"/>
      <charset val="204"/>
    </font>
    <font>
      <b/>
      <sz val="9"/>
      <color indexed="9"/>
      <name val="Tahoma"/>
      <family val="2"/>
      <charset val="204"/>
    </font>
    <font>
      <u/>
      <sz val="12"/>
      <name val="Times New Roman Cyr"/>
      <charset val="204"/>
    </font>
    <font>
      <b/>
      <sz val="14"/>
      <name val="Franklin Gothic Medium"/>
      <family val="2"/>
      <charset val="204"/>
    </font>
    <font>
      <b/>
      <sz val="14"/>
      <name val="Times New Roman"/>
      <family val="1"/>
      <charset val="204"/>
    </font>
    <font>
      <b/>
      <sz val="12"/>
      <name val="Times New Roman"/>
      <family val="1"/>
      <charset val="204"/>
    </font>
    <font>
      <sz val="12"/>
      <name val="Times New Roman"/>
      <family val="1"/>
      <charset val="204"/>
    </font>
    <font>
      <b/>
      <sz val="12"/>
      <name val="Tahoma"/>
      <family val="2"/>
      <charset val="204"/>
    </font>
    <font>
      <b/>
      <sz val="9"/>
      <name val="Times New Roman"/>
      <family val="1"/>
      <charset val="204"/>
    </font>
    <font>
      <b/>
      <sz val="16"/>
      <name val="Times New Roman"/>
      <family val="1"/>
      <charset val="204"/>
    </font>
    <font>
      <sz val="14"/>
      <name val="Times New Roman"/>
      <family val="1"/>
      <charset val="204"/>
    </font>
    <font>
      <b/>
      <sz val="20"/>
      <name val="Times New Roman"/>
      <family val="1"/>
      <charset val="204"/>
    </font>
    <font>
      <b/>
      <sz val="12"/>
      <color indexed="8"/>
      <name val="Times New Roman"/>
      <family val="1"/>
      <charset val="204"/>
    </font>
    <font>
      <sz val="12"/>
      <name val="Tahoma"/>
      <family val="2"/>
      <charset val="204"/>
    </font>
    <font>
      <sz val="12"/>
      <color indexed="8"/>
      <name val="Tahoma"/>
      <family val="2"/>
      <charset val="204"/>
    </font>
    <font>
      <sz val="12"/>
      <color indexed="8"/>
      <name val="Times New Roman"/>
      <family val="1"/>
      <charset val="204"/>
    </font>
    <font>
      <sz val="10"/>
      <name val="Times New Roman Cyr"/>
      <charset val="204"/>
    </font>
    <font>
      <b/>
      <sz val="14"/>
      <name val="Times New Roman Cyr"/>
      <charset val="204"/>
    </font>
    <font>
      <b/>
      <sz val="10"/>
      <name val="Times New Roman Cyr"/>
      <charset val="204"/>
    </font>
    <font>
      <sz val="10"/>
      <color theme="1"/>
      <name val="Times New Roman"/>
      <family val="1"/>
      <charset val="204"/>
    </font>
    <font>
      <b/>
      <sz val="10"/>
      <color rgb="FFFF0000"/>
      <name val="Times New Roman Cyr"/>
      <charset val="204"/>
    </font>
    <font>
      <b/>
      <sz val="10"/>
      <name val="Tahoma"/>
      <family val="2"/>
      <charset val="204"/>
    </font>
    <font>
      <sz val="9"/>
      <color indexed="12"/>
      <name val="Tahoma"/>
      <family val="2"/>
      <charset val="204"/>
    </font>
    <font>
      <b/>
      <sz val="9"/>
      <color indexed="8"/>
      <name val="Tahoma"/>
      <family val="2"/>
      <charset val="204"/>
    </font>
    <font>
      <b/>
      <sz val="9"/>
      <color indexed="10"/>
      <name val="Tahoma"/>
      <family val="2"/>
      <charset val="204"/>
    </font>
    <font>
      <u/>
      <sz val="9"/>
      <color rgb="FF333399"/>
      <name val="Tahoma"/>
      <family val="2"/>
      <charset val="204"/>
    </font>
    <font>
      <b/>
      <u/>
      <sz val="11"/>
      <color indexed="12"/>
      <name val="Tahoma"/>
      <family val="2"/>
      <charset val="204"/>
    </font>
    <font>
      <sz val="10"/>
      <color theme="10"/>
      <name val="Wingdings 2"/>
      <family val="1"/>
      <charset val="2"/>
    </font>
    <font>
      <b/>
      <sz val="10"/>
      <color theme="5" tint="-0.499984740745262"/>
      <name val="Times New Roman"/>
      <family val="1"/>
      <charset val="204"/>
    </font>
    <font>
      <b/>
      <sz val="11"/>
      <name val="Tahoma"/>
      <family val="2"/>
      <charset val="204"/>
    </font>
    <font>
      <sz val="11"/>
      <name val="Tahoma"/>
      <family val="2"/>
      <charset val="204"/>
    </font>
    <font>
      <u/>
      <sz val="14"/>
      <color indexed="12"/>
      <name val="Times New Roman Cyr"/>
      <charset val="204"/>
    </font>
    <font>
      <sz val="10"/>
      <color theme="0" tint="-0.14999847407452621"/>
      <name val="Times New Roman"/>
      <family val="1"/>
      <charset val="204"/>
    </font>
    <font>
      <u/>
      <sz val="11"/>
      <color indexed="12"/>
      <name val="Tahoma"/>
      <family val="2"/>
      <charset val="204"/>
    </font>
    <font>
      <sz val="10"/>
      <color theme="0"/>
      <name val="Arial Cyr"/>
      <charset val="204"/>
    </font>
    <font>
      <b/>
      <sz val="10"/>
      <color indexed="8"/>
      <name val="Times New Roman"/>
      <family val="1"/>
      <charset val="204"/>
    </font>
    <font>
      <sz val="10"/>
      <color indexed="8"/>
      <name val="Times New Roman"/>
      <family val="1"/>
      <charset val="204"/>
    </font>
    <font>
      <i/>
      <sz val="10"/>
      <name val="Times New Roman"/>
      <family val="1"/>
      <charset val="204"/>
    </font>
    <font>
      <u/>
      <sz val="16"/>
      <color indexed="12"/>
      <name val="Times New Roman Cyr"/>
      <charset val="204"/>
    </font>
    <font>
      <sz val="18"/>
      <name val="Times New Roman"/>
      <family val="1"/>
      <charset val="204"/>
    </font>
    <font>
      <b/>
      <u/>
      <sz val="11"/>
      <color indexed="12"/>
      <name val="Times New Roman"/>
      <family val="1"/>
      <charset val="204"/>
    </font>
    <font>
      <b/>
      <sz val="10"/>
      <color rgb="FFFF0000"/>
      <name val="Arial Cyr"/>
      <charset val="204"/>
    </font>
    <font>
      <sz val="11"/>
      <color indexed="12"/>
      <name val="Tahoma"/>
      <family val="2"/>
      <charset val="204"/>
    </font>
    <font>
      <b/>
      <sz val="11"/>
      <name val="Times New Roman"/>
      <family val="1"/>
      <charset val="204"/>
    </font>
    <font>
      <sz val="10"/>
      <color rgb="FFFF0000"/>
      <name val="Times New Roman"/>
      <family val="1"/>
      <charset val="204"/>
    </font>
    <font>
      <sz val="9"/>
      <color indexed="10"/>
      <name val="Tahoma"/>
      <family val="2"/>
      <charset val="204"/>
    </font>
    <font>
      <b/>
      <sz val="9"/>
      <color theme="1"/>
      <name val="Times New Roman"/>
      <family val="1"/>
      <charset val="204"/>
    </font>
    <font>
      <i/>
      <sz val="9"/>
      <color theme="1"/>
      <name val="Times New Roman"/>
      <family val="1"/>
      <charset val="204"/>
    </font>
    <font>
      <b/>
      <i/>
      <u/>
      <sz val="9"/>
      <color theme="1"/>
      <name val="Times New Roman"/>
      <family val="1"/>
      <charset val="204"/>
    </font>
    <font>
      <b/>
      <u/>
      <sz val="9"/>
      <color theme="1"/>
      <name val="Times New Roman"/>
      <family val="1"/>
      <charset val="204"/>
    </font>
    <font>
      <b/>
      <sz val="8"/>
      <color theme="1"/>
      <name val="Times New Roman"/>
      <family val="1"/>
      <charset val="204"/>
    </font>
    <font>
      <b/>
      <sz val="9"/>
      <color indexed="8"/>
      <name val="Times New Roman"/>
      <family val="1"/>
      <charset val="204"/>
    </font>
    <font>
      <b/>
      <sz val="9"/>
      <color theme="5" tint="-0.249977111117893"/>
      <name val="Times New Roman"/>
      <family val="1"/>
      <charset val="204"/>
    </font>
    <font>
      <b/>
      <sz val="9"/>
      <color rgb="FFC00000"/>
      <name val="Tahoma"/>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9"/>
      <color theme="1"/>
      <name val="Times New Roman"/>
      <family val="1"/>
      <charset val="204"/>
    </font>
    <font>
      <sz val="16"/>
      <color indexed="8"/>
      <name val="Times New Roman"/>
      <family val="1"/>
      <charset val="204"/>
    </font>
    <font>
      <b/>
      <sz val="14"/>
      <name val="Tahoma"/>
      <family val="2"/>
      <charset val="204"/>
    </font>
    <font>
      <b/>
      <u/>
      <sz val="10"/>
      <color indexed="12"/>
      <name val="Times New Roman"/>
      <family val="1"/>
      <charset val="204"/>
    </font>
    <font>
      <sz val="9"/>
      <color indexed="10"/>
      <name val="Times New Roman"/>
      <family val="1"/>
      <charset val="204"/>
    </font>
    <font>
      <b/>
      <sz val="10"/>
      <color theme="1"/>
      <name val="Times New Roman"/>
      <family val="1"/>
      <charset val="204"/>
    </font>
    <font>
      <sz val="10"/>
      <color indexed="8"/>
      <name val="Tahoma"/>
      <family val="2"/>
      <charset val="204"/>
    </font>
    <font>
      <b/>
      <u/>
      <sz val="9"/>
      <color indexed="12"/>
      <name val="Times New Roman"/>
      <family val="1"/>
      <charset val="204"/>
    </font>
    <font>
      <u/>
      <sz val="9"/>
      <color indexed="12"/>
      <name val="Times New Roman"/>
      <family val="1"/>
      <charset val="204"/>
    </font>
    <font>
      <sz val="9"/>
      <color indexed="9"/>
      <name val="Times New Roman"/>
      <family val="1"/>
      <charset val="204"/>
    </font>
    <font>
      <b/>
      <i/>
      <sz val="14"/>
      <color theme="1"/>
      <name val="Times New Roman"/>
      <family val="1"/>
      <charset val="204"/>
    </font>
    <font>
      <sz val="9"/>
      <color theme="0"/>
      <name val="Times New Roman"/>
      <family val="1"/>
      <charset val="204"/>
    </font>
    <font>
      <b/>
      <sz val="10"/>
      <color theme="5" tint="-0.249977111117893"/>
      <name val="Times New Roman"/>
      <family val="1"/>
      <charset val="204"/>
    </font>
    <font>
      <sz val="14"/>
      <color theme="1"/>
      <name val="Times New Roman"/>
      <family val="1"/>
      <charset val="204"/>
    </font>
    <font>
      <sz val="9"/>
      <name val="Arial Cyr"/>
      <charset val="204"/>
    </font>
    <font>
      <b/>
      <sz val="12"/>
      <color rgb="FFFF0000"/>
      <name val="Times New Roman"/>
      <family val="1"/>
      <charset val="204"/>
    </font>
    <font>
      <b/>
      <sz val="14"/>
      <color rgb="FFFF0000"/>
      <name val="Franklin Gothic Medium"/>
      <family val="2"/>
      <charset val="204"/>
    </font>
    <font>
      <sz val="11"/>
      <name val="Times New Roman"/>
      <family val="1"/>
      <charset val="204"/>
    </font>
    <font>
      <u/>
      <sz val="10"/>
      <color indexed="12"/>
      <name val="Times New Roman"/>
      <family val="1"/>
      <charset val="204"/>
    </font>
    <font>
      <b/>
      <sz val="11"/>
      <color theme="1"/>
      <name val="Times New Roman"/>
      <family val="1"/>
      <charset val="204"/>
    </font>
    <font>
      <sz val="16"/>
      <name val="Times New Roman"/>
      <family val="1"/>
      <charset val="204"/>
    </font>
    <font>
      <sz val="12"/>
      <color theme="0" tint="-0.14999847407452621"/>
      <name val="Times New Roman"/>
      <family val="1"/>
      <charset val="204"/>
    </font>
    <font>
      <b/>
      <u/>
      <sz val="12"/>
      <color indexed="12"/>
      <name val="Tahoma"/>
      <family val="2"/>
      <charset val="204"/>
    </font>
    <font>
      <u/>
      <sz val="12"/>
      <color indexed="12"/>
      <name val="Times New Roman"/>
      <family val="1"/>
      <charset val="204"/>
    </font>
    <font>
      <b/>
      <sz val="18"/>
      <color theme="1"/>
      <name val="Times New Roman"/>
      <family val="1"/>
      <charset val="204"/>
    </font>
    <font>
      <b/>
      <sz val="16"/>
      <color theme="1"/>
      <name val="Times New Roman"/>
      <family val="1"/>
      <charset val="204"/>
    </font>
    <font>
      <sz val="16"/>
      <color theme="1"/>
      <name val="Calibri"/>
      <family val="2"/>
      <charset val="204"/>
      <scheme val="minor"/>
    </font>
    <font>
      <i/>
      <sz val="12"/>
      <color theme="1"/>
      <name val="Times New Roman"/>
      <family val="1"/>
      <charset val="204"/>
    </font>
    <font>
      <b/>
      <sz val="12"/>
      <color theme="1"/>
      <name val="Times New Roman"/>
      <family val="1"/>
      <charset val="204"/>
    </font>
    <font>
      <sz val="12"/>
      <color theme="1"/>
      <name val="Times New Roman"/>
      <family val="1"/>
      <charset val="204"/>
    </font>
    <font>
      <b/>
      <i/>
      <sz val="12"/>
      <color theme="1"/>
      <name val="Times New Roman"/>
      <family val="1"/>
      <charset val="204"/>
    </font>
    <font>
      <b/>
      <i/>
      <sz val="12"/>
      <name val="Times New Roman"/>
      <family val="1"/>
      <charset val="204"/>
    </font>
    <font>
      <sz val="12"/>
      <color theme="1"/>
      <name val="Times New Roman"/>
      <family val="2"/>
      <charset val="204"/>
    </font>
    <font>
      <sz val="11"/>
      <color theme="1"/>
      <name val="Times New Roman"/>
      <family val="2"/>
      <charset val="204"/>
    </font>
    <font>
      <b/>
      <sz val="12"/>
      <color theme="1"/>
      <name val="Times New Roman"/>
      <family val="2"/>
      <charset val="204"/>
    </font>
    <font>
      <b/>
      <i/>
      <sz val="9"/>
      <name val="Tahoma"/>
      <family val="2"/>
      <charset val="204"/>
    </font>
    <font>
      <sz val="9"/>
      <color theme="1"/>
      <name val="Tahoma"/>
      <family val="2"/>
      <charset val="204"/>
    </font>
    <font>
      <b/>
      <sz val="9"/>
      <color indexed="23"/>
      <name val="Tahoma"/>
      <family val="2"/>
      <charset val="204"/>
    </font>
    <font>
      <sz val="9"/>
      <color indexed="23"/>
      <name val="Tahoma"/>
      <family val="2"/>
      <charset val="204"/>
    </font>
    <font>
      <b/>
      <sz val="9"/>
      <color indexed="55"/>
      <name val="Tahoma"/>
      <family val="2"/>
      <charset val="204"/>
    </font>
    <font>
      <sz val="11"/>
      <color indexed="8"/>
      <name val="Calibri"/>
      <family val="2"/>
      <charset val="204"/>
    </font>
    <font>
      <b/>
      <u/>
      <sz val="9"/>
      <color indexed="12"/>
      <name val="Tahoma"/>
      <family val="2"/>
      <charset val="204"/>
    </font>
    <font>
      <sz val="28"/>
      <name val="Tahoma"/>
      <family val="2"/>
      <charset val="204"/>
    </font>
    <font>
      <sz val="12"/>
      <name val="PF Din Text Cond Pro Light"/>
      <charset val="204"/>
    </font>
    <font>
      <b/>
      <u/>
      <sz val="12"/>
      <name val="PF Din Text Cond Pro Light"/>
      <charset val="204"/>
    </font>
    <font>
      <b/>
      <sz val="16"/>
      <name val="PF Din Text Cond Pro Light"/>
      <charset val="204"/>
    </font>
    <font>
      <u/>
      <sz val="12"/>
      <name val="PF Din Text Cond Pro Light"/>
      <charset val="204"/>
    </font>
    <font>
      <vertAlign val="superscript"/>
      <sz val="12"/>
      <name val="PF Din Text Cond Pro Light"/>
      <charset val="204"/>
    </font>
    <font>
      <b/>
      <sz val="14"/>
      <name val="PF Din Text Cond Pro Light"/>
      <charset val="204"/>
    </font>
    <font>
      <i/>
      <vertAlign val="superscript"/>
      <sz val="12"/>
      <name val="PF Din Text Cond Pro Light"/>
      <charset val="204"/>
    </font>
    <font>
      <i/>
      <sz val="12"/>
      <name val="PF Din Text Cond Pro Light"/>
      <charset val="204"/>
    </font>
    <font>
      <sz val="12"/>
      <color rgb="FFFF0000"/>
      <name val="PF Din Text Cond Pro Light"/>
      <charset val="204"/>
    </font>
    <font>
      <i/>
      <sz val="12"/>
      <color rgb="FFFF0000"/>
      <name val="PF Din Text Cond Pro Light"/>
      <charset val="204"/>
    </font>
    <font>
      <b/>
      <sz val="12"/>
      <name val="PF Din Text Cond Pro Light"/>
      <charset val="204"/>
    </font>
    <font>
      <b/>
      <sz val="8"/>
      <color rgb="FF000000"/>
      <name val="PF Din Text Cond Pro Light"/>
      <charset val="204"/>
    </font>
    <font>
      <b/>
      <sz val="8"/>
      <name val="PF Din Text Cond Pro Light"/>
      <charset val="204"/>
    </font>
    <font>
      <b/>
      <u/>
      <sz val="8"/>
      <name val="PF Din Text Cond Pro Light"/>
      <charset val="204"/>
    </font>
    <font>
      <i/>
      <sz val="8"/>
      <color rgb="FF000000"/>
      <name val="PF Din Text Cond Pro Light"/>
      <charset val="204"/>
    </font>
    <font>
      <i/>
      <sz val="8"/>
      <name val="PF Din Text Cond Pro Light"/>
      <charset val="204"/>
    </font>
    <font>
      <sz val="8"/>
      <color rgb="FF000000"/>
      <name val="PF Din Text Cond Pro Light"/>
      <charset val="204"/>
    </font>
    <font>
      <sz val="8"/>
      <name val="PF Din Text Cond Pro Light"/>
      <charset val="204"/>
    </font>
    <font>
      <sz val="11"/>
      <name val="PF Din Text Cond Pro Light"/>
      <charset val="204"/>
    </font>
    <font>
      <b/>
      <u/>
      <sz val="8"/>
      <color rgb="FF000000"/>
      <name val="PF Din Text Cond Pro Light"/>
      <charset val="204"/>
    </font>
    <font>
      <u/>
      <sz val="9"/>
      <color theme="10"/>
      <name val="Tahoma"/>
      <family val="2"/>
      <charset val="204"/>
    </font>
    <font>
      <b/>
      <u/>
      <sz val="9"/>
      <name val="PF Din Text Cond Pro Light"/>
      <charset val="204"/>
    </font>
    <font>
      <b/>
      <vertAlign val="superscript"/>
      <sz val="8"/>
      <color rgb="FF000000"/>
      <name val="PF Din Text Cond Pro Light"/>
      <charset val="204"/>
    </font>
    <font>
      <b/>
      <i/>
      <sz val="12"/>
      <name val="PF Din Text Cond Pro Light"/>
      <charset val="204"/>
    </font>
    <font>
      <b/>
      <i/>
      <sz val="8"/>
      <name val="PF Din Text Cond Pro Light"/>
      <charset val="204"/>
    </font>
    <font>
      <b/>
      <sz val="8"/>
      <color theme="1"/>
      <name val="PF Din Text Cond Pro Light"/>
      <charset val="204"/>
    </font>
    <font>
      <sz val="8"/>
      <color theme="1"/>
      <name val="PF Din Text Cond Pro Light"/>
      <charset val="204"/>
    </font>
    <font>
      <b/>
      <i/>
      <sz val="8"/>
      <color rgb="FF000000"/>
      <name val="PF Din Text Cond Pro Light"/>
      <charset val="204"/>
    </font>
    <font>
      <b/>
      <u/>
      <sz val="8"/>
      <color theme="1"/>
      <name val="PF Din Text Cond Pro Light"/>
      <charset val="204"/>
    </font>
    <font>
      <sz val="10"/>
      <name val="PF Din Text Cond Pro Light"/>
      <charset val="204"/>
    </font>
    <font>
      <sz val="10"/>
      <color rgb="FF000000"/>
      <name val="PF Din Text Cond Pro Light"/>
      <charset val="204"/>
    </font>
    <font>
      <sz val="7"/>
      <color rgb="FF000000"/>
      <name val="PF Din Text Cond Pro Light"/>
      <charset val="204"/>
    </font>
    <font>
      <u/>
      <sz val="8"/>
      <color rgb="FF000000"/>
      <name val="PF Din Text Cond Pro Light"/>
      <charset val="204"/>
    </font>
    <font>
      <b/>
      <sz val="10"/>
      <name val="PF Din Text Cond Pro Light"/>
      <charset val="204"/>
    </font>
    <font>
      <b/>
      <sz val="7"/>
      <name val="PF Din Text Cond Pro Light"/>
      <charset val="204"/>
    </font>
    <font>
      <b/>
      <u/>
      <sz val="12"/>
      <color rgb="FFFF0000"/>
      <name val="PF Din Text Cond Pro Light"/>
      <charset val="204"/>
    </font>
    <font>
      <i/>
      <sz val="8"/>
      <color theme="1"/>
      <name val="PF Din Text Cond Pro Light"/>
      <charset val="204"/>
    </font>
    <font>
      <b/>
      <u/>
      <vertAlign val="subscript"/>
      <sz val="8"/>
      <color theme="1"/>
      <name val="PF Din Text Cond Pro Light"/>
      <charset val="204"/>
    </font>
    <font>
      <b/>
      <i/>
      <vertAlign val="superscript"/>
      <sz val="8"/>
      <color theme="1"/>
      <name val="PF Din Text Cond Pro Light"/>
      <charset val="204"/>
    </font>
    <font>
      <b/>
      <sz val="9.1999999999999993"/>
      <color theme="1"/>
      <name val="PF Din Text Cond Pro Light"/>
      <charset val="204"/>
    </font>
    <font>
      <b/>
      <vertAlign val="subscript"/>
      <sz val="9.1999999999999993"/>
      <color theme="1"/>
      <name val="PF Din Text Cond Pro Light"/>
      <charset val="204"/>
    </font>
    <font>
      <b/>
      <sz val="10.6"/>
      <color theme="1"/>
      <name val="PF Din Text Cond Pro Light"/>
      <charset val="204"/>
    </font>
    <font>
      <b/>
      <vertAlign val="subscript"/>
      <sz val="10.6"/>
      <color theme="1"/>
      <name val="PF Din Text Cond Pro Light"/>
      <charset val="204"/>
    </font>
    <font>
      <i/>
      <u/>
      <sz val="8"/>
      <color theme="1"/>
      <name val="PF Din Text Cond Pro Light"/>
      <charset val="204"/>
    </font>
    <font>
      <b/>
      <vertAlign val="subscript"/>
      <sz val="8"/>
      <color theme="1"/>
      <name val="PF Din Text Cond Pro Light"/>
      <charset val="204"/>
    </font>
    <font>
      <u/>
      <vertAlign val="subscript"/>
      <sz val="8"/>
      <color theme="1"/>
      <name val="PF Din Text Cond Pro Light"/>
      <charset val="204"/>
    </font>
    <font>
      <i/>
      <vertAlign val="superscript"/>
      <sz val="8"/>
      <color theme="1"/>
      <name val="PF Din Text Cond Pro Light"/>
      <charset val="204"/>
    </font>
    <font>
      <u/>
      <sz val="8"/>
      <color theme="1"/>
      <name val="PF Din Text Cond Pro Light"/>
      <charset val="204"/>
    </font>
    <font>
      <vertAlign val="subscript"/>
      <sz val="8"/>
      <color theme="1"/>
      <name val="PF Din Text Cond Pro Light"/>
      <charset val="204"/>
    </font>
    <font>
      <b/>
      <u/>
      <vertAlign val="subscript"/>
      <sz val="8"/>
      <color rgb="FF000000"/>
      <name val="PF Din Text Cond Pro Light"/>
      <charset val="204"/>
    </font>
    <font>
      <vertAlign val="superscript"/>
      <sz val="8"/>
      <color rgb="FF000000"/>
      <name val="PF Din Text Cond Pro Light"/>
      <charset val="204"/>
    </font>
    <font>
      <u/>
      <vertAlign val="subscript"/>
      <sz val="8"/>
      <color rgb="FF000000"/>
      <name val="PF Din Text Cond Pro Light"/>
      <charset val="204"/>
    </font>
    <font>
      <b/>
      <vertAlign val="superscript"/>
      <sz val="8"/>
      <color theme="1"/>
      <name val="PF Din Text Cond Pro Light"/>
      <charset val="204"/>
    </font>
    <font>
      <i/>
      <vertAlign val="superscript"/>
      <sz val="8"/>
      <color rgb="FF000000"/>
      <name val="PF Din Text Cond Pro Light"/>
      <charset val="204"/>
    </font>
    <font>
      <b/>
      <sz val="10"/>
      <color theme="1"/>
      <name val="PF Din Text Cond Pro Light"/>
      <charset val="204"/>
    </font>
    <font>
      <sz val="10"/>
      <color theme="1"/>
      <name val="PF Din Text Cond Pro Light"/>
      <charset val="204"/>
    </font>
    <font>
      <i/>
      <sz val="10"/>
      <color theme="1"/>
      <name val="PF Din Text Cond Pro Light"/>
      <charset val="204"/>
    </font>
    <font>
      <b/>
      <i/>
      <sz val="10"/>
      <color theme="1"/>
      <name val="PF Din Text Cond Pro Light"/>
      <charset val="204"/>
    </font>
    <font>
      <sz val="9"/>
      <name val="PF Din Text Cond Pro Light"/>
      <charset val="204"/>
    </font>
    <font>
      <u/>
      <sz val="11"/>
      <name val="PF Din Text Cond Pro Light"/>
      <charset val="204"/>
    </font>
    <font>
      <sz val="14"/>
      <name val="PF Din Text Cond Pro Light"/>
      <charset val="204"/>
    </font>
    <font>
      <b/>
      <sz val="14"/>
      <color rgb="FFFF0000"/>
      <name val="PF Din Text Cond Pro Light"/>
      <charset val="204"/>
    </font>
    <font>
      <sz val="12"/>
      <color theme="1"/>
      <name val="PF Din Text Cond Pro Light"/>
      <charset val="204"/>
    </font>
    <font>
      <b/>
      <sz val="12"/>
      <color theme="8"/>
      <name val="PF Din Text Cond Pro Light"/>
      <charset val="204"/>
    </font>
    <font>
      <b/>
      <sz val="16"/>
      <color theme="1"/>
      <name val="PF Din Text Cond Pro Light"/>
      <charset val="204"/>
    </font>
    <font>
      <b/>
      <sz val="14"/>
      <color theme="1"/>
      <name val="PF Din Text Cond Pro Light"/>
      <charset val="204"/>
    </font>
    <font>
      <b/>
      <sz val="12"/>
      <color theme="0"/>
      <name val="PF Din Text Cond Pro Light"/>
      <charset val="204"/>
    </font>
    <font>
      <i/>
      <sz val="12"/>
      <color theme="1"/>
      <name val="PF Din Text Cond Pro Light"/>
      <charset val="204"/>
    </font>
    <font>
      <b/>
      <i/>
      <sz val="12"/>
      <color theme="1"/>
      <name val="PF Din Text Cond Pro Light"/>
      <charset val="204"/>
    </font>
    <font>
      <b/>
      <sz val="12"/>
      <color theme="1"/>
      <name val="PF Din Text Cond Pro Light"/>
      <charset val="204"/>
    </font>
    <font>
      <b/>
      <sz val="12"/>
      <color rgb="FF000000"/>
      <name val="PF Din Text Cond Pro Light"/>
      <charset val="204"/>
    </font>
    <font>
      <b/>
      <u/>
      <sz val="12"/>
      <color theme="1"/>
      <name val="PF Din Text Cond Pro Light"/>
      <charset val="204"/>
    </font>
    <font>
      <b/>
      <u/>
      <sz val="18"/>
      <color theme="1"/>
      <name val="PF Din Text Cond Pro Light"/>
      <charset val="204"/>
    </font>
    <font>
      <u/>
      <sz val="12"/>
      <color theme="1"/>
      <name val="PF Din Text Cond Pro Light"/>
      <charset val="204"/>
    </font>
    <font>
      <b/>
      <sz val="9"/>
      <color theme="0"/>
      <name val="PF Din Text Cond Pro Light"/>
      <charset val="204"/>
    </font>
    <font>
      <b/>
      <i/>
      <sz val="12"/>
      <color rgb="FFFF0000"/>
      <name val="PF Din Text Cond Pro Light"/>
      <charset val="204"/>
    </font>
    <font>
      <b/>
      <i/>
      <u/>
      <sz val="12"/>
      <color theme="1"/>
      <name val="PF Din Text Cond Pro Light"/>
      <charset val="204"/>
    </font>
    <font>
      <i/>
      <sz val="9"/>
      <name val="PF Din Text Cond Pro Light"/>
      <charset val="204"/>
    </font>
    <font>
      <sz val="10"/>
      <color rgb="FFFF0000"/>
      <name val="Tahoma"/>
      <family val="2"/>
      <charset val="204"/>
    </font>
    <font>
      <sz val="10"/>
      <color theme="0"/>
      <name val="PF Din Text Cond Pro Light"/>
      <charset val="204"/>
    </font>
    <font>
      <b/>
      <i/>
      <vertAlign val="superscript"/>
      <sz val="8"/>
      <color rgb="FF000000"/>
      <name val="PF Din Text Cond Pro Light"/>
      <charset val="204"/>
    </font>
    <font>
      <b/>
      <sz val="20"/>
      <color theme="1"/>
      <name val="PF Din Text Cond Pro Light"/>
      <charset val="204"/>
    </font>
    <font>
      <sz val="6"/>
      <name val="PF Din Text Cond Pro Light"/>
      <charset val="204"/>
    </font>
    <font>
      <b/>
      <sz val="6"/>
      <name val="PF Din Text Cond Pro Light"/>
      <charset val="204"/>
    </font>
    <font>
      <b/>
      <sz val="12"/>
      <color rgb="FFFF0000"/>
      <name val="PF Din Text Cond Pro Light"/>
      <charset val="204"/>
    </font>
    <font>
      <i/>
      <sz val="10"/>
      <name val="PF Din Text Cond Pro Light"/>
      <charset val="204"/>
    </font>
  </fonts>
  <fills count="29">
    <fill>
      <patternFill patternType="none"/>
    </fill>
    <fill>
      <patternFill patternType="gray125"/>
    </fill>
    <fill>
      <patternFill patternType="solid">
        <fgColor indexed="11"/>
        <bgColor indexed="64"/>
      </patternFill>
    </fill>
    <fill>
      <patternFill patternType="solid">
        <fgColor rgb="FFFFFF99"/>
        <bgColor indexed="64"/>
      </patternFill>
    </fill>
    <fill>
      <patternFill patternType="solid">
        <fgColor indexed="42"/>
        <bgColor indexed="64"/>
      </patternFill>
    </fill>
    <fill>
      <patternFill patternType="solid">
        <fgColor theme="0" tint="-0.14999847407452621"/>
        <bgColor indexed="64"/>
      </patternFill>
    </fill>
    <fill>
      <patternFill patternType="solid">
        <fgColor indexed="41"/>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249977111117893"/>
        <bgColor indexed="64"/>
      </patternFill>
    </fill>
    <fill>
      <patternFill patternType="solid">
        <fgColor indexed="43"/>
        <bgColor indexed="64"/>
      </patternFill>
    </fill>
    <fill>
      <patternFill patternType="solid">
        <fgColor indexed="22"/>
        <bgColor indexed="64"/>
      </patternFill>
    </fill>
    <fill>
      <patternFill patternType="solid">
        <fgColor rgb="FFFF0000"/>
        <bgColor indexed="64"/>
      </patternFill>
    </fill>
    <fill>
      <patternFill patternType="solid">
        <fgColor indexed="47"/>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lightDown">
        <fgColor indexed="22"/>
      </patternFill>
    </fill>
    <fill>
      <patternFill patternType="lightDown">
        <fgColor indexed="22"/>
        <bgColor theme="0" tint="-0.14996795556505021"/>
      </patternFill>
    </fill>
    <fill>
      <patternFill patternType="lightDown">
        <fgColor indexed="22"/>
        <bgColor theme="0"/>
      </patternFill>
    </fill>
    <fill>
      <patternFill patternType="lightDown">
        <fgColor indexed="22"/>
        <bgColor indexed="22"/>
      </patternFill>
    </fill>
    <fill>
      <patternFill patternType="solid">
        <fgColor rgb="FFFFFFCC"/>
        <bgColor indexed="64"/>
      </patternFill>
    </fill>
    <fill>
      <patternFill patternType="solid">
        <fgColor rgb="FFFFFFFF"/>
        <bgColor indexed="64"/>
      </patternFill>
    </fill>
    <fill>
      <patternFill patternType="solid">
        <fgColor rgb="FFFFFF00"/>
        <bgColor indexed="64"/>
      </patternFill>
    </fill>
    <fill>
      <patternFill patternType="solid">
        <fgColor rgb="FF0F5994"/>
        <bgColor indexed="64"/>
      </patternFill>
    </fill>
    <fill>
      <patternFill patternType="solid">
        <fgColor rgb="FF4BACC6"/>
        <bgColor indexed="64"/>
      </patternFill>
    </fill>
    <fill>
      <patternFill patternType="solid">
        <fgColor rgb="FFD9D9D9"/>
        <bgColor indexed="64"/>
      </patternFill>
    </fill>
    <fill>
      <patternFill patternType="solid">
        <fgColor rgb="FFC5D9F1"/>
        <bgColor indexed="64"/>
      </patternFill>
    </fill>
    <fill>
      <patternFill patternType="solid">
        <fgColor rgb="FF92D050"/>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style="medium">
        <color indexed="64"/>
      </left>
      <right style="thin">
        <color indexed="64"/>
      </right>
      <top style="medium">
        <color indexed="64"/>
      </top>
      <bottom/>
      <diagonal/>
    </border>
    <border>
      <left style="thin">
        <color indexed="22"/>
      </left>
      <right style="thin">
        <color indexed="22"/>
      </right>
      <top style="thin">
        <color indexed="22"/>
      </top>
      <bottom/>
      <diagonal/>
    </border>
    <border>
      <left style="thin">
        <color indexed="22"/>
      </left>
      <right style="thin">
        <color theme="0" tint="-0.249977111117893"/>
      </right>
      <top style="thin">
        <color indexed="22"/>
      </top>
      <bottom/>
      <diagonal/>
    </border>
    <border>
      <left/>
      <right style="thin">
        <color indexed="22"/>
      </right>
      <top style="thin">
        <color indexed="22"/>
      </top>
      <bottom style="thin">
        <color indexed="22"/>
      </bottom>
      <diagonal/>
    </border>
    <border>
      <left style="thin">
        <color theme="0" tint="-0.249977111117893"/>
      </left>
      <right/>
      <top style="thin">
        <color indexed="22"/>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bottom/>
      <diagonal/>
    </border>
    <border>
      <left style="thin">
        <color indexed="22"/>
      </left>
      <right style="thin">
        <color theme="0" tint="-0.249977111117893"/>
      </right>
      <top/>
      <bottom/>
      <diagonal/>
    </border>
    <border>
      <left/>
      <right/>
      <top style="thin">
        <color indexed="22"/>
      </top>
      <bottom/>
      <diagonal/>
    </border>
    <border>
      <left style="thin">
        <color indexed="22"/>
      </left>
      <right/>
      <top style="thin">
        <color indexed="22"/>
      </top>
      <bottom/>
      <diagonal/>
    </border>
    <border>
      <left style="thin">
        <color indexed="22"/>
      </left>
      <right/>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indexed="22"/>
      </right>
      <top style="thin">
        <color indexed="22"/>
      </top>
      <bottom/>
      <diagonal/>
    </border>
    <border>
      <left style="thin">
        <color theme="0" tint="-0.249977111117893"/>
      </left>
      <right style="thin">
        <color indexed="22"/>
      </right>
      <top/>
      <bottom style="thin">
        <color indexed="22"/>
      </bottom>
      <diagonal/>
    </border>
    <border>
      <left style="thin">
        <color theme="0" tint="-0.249977111117893"/>
      </left>
      <right style="thin">
        <color indexed="22"/>
      </right>
      <top/>
      <bottom/>
      <diagonal/>
    </border>
    <border>
      <left style="thin">
        <color indexed="22"/>
      </left>
      <right style="thin">
        <color indexed="22"/>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indexed="22"/>
      </left>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diagonal/>
    </border>
    <border>
      <left style="thin">
        <color indexed="22"/>
      </left>
      <right style="thin">
        <color indexed="22"/>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22"/>
      </right>
      <top/>
      <bottom/>
      <diagonal/>
    </border>
    <border>
      <left style="thick">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ck">
        <color indexed="22"/>
      </right>
      <top style="thin">
        <color indexed="22"/>
      </top>
      <bottom style="thin">
        <color indexed="22"/>
      </bottom>
      <diagonal/>
    </border>
    <border>
      <left/>
      <right/>
      <top/>
      <bottom style="thin">
        <color indexed="22"/>
      </bottom>
      <diagonal/>
    </border>
    <border>
      <left style="thick">
        <color indexed="22"/>
      </left>
      <right/>
      <top style="thin">
        <color indexed="22"/>
      </top>
      <bottom style="thin">
        <color indexed="22"/>
      </bottom>
      <diagonal/>
    </border>
    <border>
      <left/>
      <right/>
      <top style="thin">
        <color indexed="64"/>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s>
  <cellStyleXfs count="38">
    <xf numFmtId="0" fontId="0" fillId="0" borderId="0"/>
    <xf numFmtId="9" fontId="3" fillId="0" borderId="0" applyFont="0" applyFill="0" applyBorder="0" applyAlignment="0" applyProtection="0"/>
    <xf numFmtId="49" fontId="5" fillId="2" borderId="0" applyBorder="0">
      <alignment vertical="top"/>
    </xf>
    <xf numFmtId="0" fontId="12" fillId="2" borderId="0" applyNumberFormat="0" applyBorder="0" applyAlignment="0">
      <alignment horizontal="left" vertical="center"/>
    </xf>
    <xf numFmtId="0" fontId="14" fillId="0" borderId="0" applyNumberFormat="0" applyFill="0" applyBorder="0" applyAlignment="0" applyProtection="0"/>
    <xf numFmtId="0" fontId="18" fillId="0" borderId="0" applyNumberFormat="0" applyFill="0" applyBorder="0" applyAlignment="0" applyProtection="0">
      <alignment vertical="top"/>
      <protection locked="0"/>
    </xf>
    <xf numFmtId="49" fontId="5" fillId="0" borderId="0" applyBorder="0">
      <alignment vertical="top"/>
    </xf>
    <xf numFmtId="0" fontId="22" fillId="0" borderId="0" applyNumberFormat="0" applyFill="0" applyBorder="0" applyAlignment="0" applyProtection="0">
      <alignment vertical="top"/>
      <protection locked="0"/>
    </xf>
    <xf numFmtId="0" fontId="7" fillId="0" borderId="0"/>
    <xf numFmtId="0" fontId="7" fillId="0" borderId="0"/>
    <xf numFmtId="0" fontId="7" fillId="0" borderId="0"/>
    <xf numFmtId="0" fontId="33" fillId="0" borderId="6" applyBorder="0">
      <alignment horizontal="center" vertical="center" wrapText="1"/>
    </xf>
    <xf numFmtId="4" fontId="5" fillId="10" borderId="1" applyBorder="0">
      <alignment horizontal="right"/>
    </xf>
    <xf numFmtId="4" fontId="5" fillId="4" borderId="0" applyFont="0" applyBorder="0">
      <alignment horizontal="right"/>
    </xf>
    <xf numFmtId="0" fontId="7" fillId="0" borderId="0"/>
    <xf numFmtId="49" fontId="5" fillId="0" borderId="0" applyBorder="0">
      <alignment vertical="top"/>
    </xf>
    <xf numFmtId="4" fontId="5" fillId="13" borderId="38" applyBorder="0">
      <alignment horizontal="right"/>
    </xf>
    <xf numFmtId="0" fontId="37" fillId="0" borderId="0" applyBorder="0">
      <alignment horizontal="center" vertical="center" wrapText="1"/>
    </xf>
    <xf numFmtId="4" fontId="5" fillId="4" borderId="0" applyFont="0" applyBorder="0">
      <alignment horizontal="right"/>
    </xf>
    <xf numFmtId="0" fontId="7" fillId="0" borderId="0"/>
    <xf numFmtId="4" fontId="5" fillId="4" borderId="0" applyBorder="0">
      <alignment horizontal="right"/>
    </xf>
    <xf numFmtId="9" fontId="7" fillId="0" borderId="0" applyFont="0" applyFill="0" applyBorder="0" applyAlignment="0" applyProtection="0"/>
    <xf numFmtId="0" fontId="50" fillId="0" borderId="0"/>
    <xf numFmtId="43" fontId="7" fillId="0" borderId="0" applyFont="0" applyFill="0" applyBorder="0" applyAlignment="0" applyProtection="0"/>
    <xf numFmtId="0" fontId="2" fillId="0" borderId="0"/>
    <xf numFmtId="0" fontId="28" fillId="0" borderId="0" applyNumberFormat="0" applyFill="0" applyBorder="0" applyAlignment="0" applyProtection="0">
      <alignment vertical="top"/>
      <protection locked="0"/>
    </xf>
    <xf numFmtId="0" fontId="7" fillId="0" borderId="0"/>
    <xf numFmtId="0" fontId="7" fillId="0" borderId="0"/>
    <xf numFmtId="0" fontId="12" fillId="2" borderId="0" applyNumberFormat="0" applyBorder="0" applyAlignment="0">
      <alignment horizontal="left" vertical="center"/>
    </xf>
    <xf numFmtId="0" fontId="7" fillId="0" borderId="0"/>
    <xf numFmtId="0" fontId="7" fillId="0" borderId="0"/>
    <xf numFmtId="0" fontId="7" fillId="0" borderId="0"/>
    <xf numFmtId="4" fontId="5" fillId="4" borderId="38" applyBorder="0">
      <alignment horizontal="right"/>
    </xf>
    <xf numFmtId="0" fontId="59" fillId="0" borderId="0" applyNumberFormat="0" applyFill="0" applyBorder="0" applyAlignment="0" applyProtection="0">
      <alignment vertical="top"/>
      <protection locked="0"/>
    </xf>
    <xf numFmtId="0" fontId="131" fillId="0" borderId="0"/>
    <xf numFmtId="49" fontId="154" fillId="0" borderId="0" applyNumberFormat="0" applyFill="0" applyBorder="0" applyAlignment="0" applyProtection="0">
      <alignment vertical="top"/>
    </xf>
    <xf numFmtId="9" fontId="5"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6" fillId="0" borderId="0" xfId="2" applyNumberFormat="1" applyFont="1" applyFill="1" applyBorder="1" applyAlignment="1" applyProtection="1">
      <alignment horizontal="right" vertical="center"/>
    </xf>
    <xf numFmtId="49" fontId="6" fillId="0" borderId="0" xfId="2" applyNumberFormat="1" applyFont="1" applyFill="1" applyBorder="1" applyAlignment="1" applyProtection="1">
      <alignment vertical="center"/>
    </xf>
    <xf numFmtId="0" fontId="8" fillId="0" borderId="0" xfId="2" applyNumberFormat="1" applyFont="1" applyFill="1" applyBorder="1" applyAlignment="1" applyProtection="1">
      <alignment vertical="center"/>
    </xf>
    <xf numFmtId="0" fontId="9" fillId="0" borderId="0" xfId="2" applyNumberFormat="1" applyFont="1" applyFill="1" applyBorder="1" applyAlignment="1" applyProtection="1">
      <alignment vertical="center" wrapText="1"/>
    </xf>
    <xf numFmtId="0" fontId="10" fillId="0" borderId="0" xfId="2" applyNumberFormat="1" applyFont="1" applyFill="1" applyBorder="1" applyAlignment="1" applyProtection="1">
      <alignment vertical="center"/>
    </xf>
    <xf numFmtId="0" fontId="11" fillId="0" borderId="0" xfId="0" applyFont="1" applyFill="1" applyBorder="1" applyAlignment="1">
      <alignment horizontal="left" wrapText="1"/>
    </xf>
    <xf numFmtId="49" fontId="13" fillId="3" borderId="1" xfId="3" applyNumberFormat="1" applyFont="1" applyFill="1" applyBorder="1" applyAlignment="1" applyProtection="1">
      <alignment horizontal="center" vertical="center" wrapText="1"/>
    </xf>
    <xf numFmtId="0" fontId="15" fillId="0" borderId="0" xfId="4" applyFont="1"/>
    <xf numFmtId="4" fontId="16" fillId="4" borderId="1" xfId="0" applyNumberFormat="1" applyFont="1" applyFill="1" applyBorder="1" applyAlignment="1" applyProtection="1">
      <alignment horizontal="right" vertical="center"/>
    </xf>
    <xf numFmtId="0" fontId="15" fillId="5" borderId="1" xfId="4" applyFont="1" applyFill="1" applyBorder="1"/>
    <xf numFmtId="49" fontId="17" fillId="6" borderId="1" xfId="3" applyNumberFormat="1" applyFont="1" applyFill="1" applyBorder="1" applyAlignment="1" applyProtection="1">
      <alignment horizontal="center" vertical="center" wrapText="1"/>
    </xf>
    <xf numFmtId="0" fontId="19" fillId="0" borderId="1" xfId="5" applyFont="1" applyBorder="1" applyAlignment="1" applyProtection="1">
      <alignment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5" fillId="0" borderId="0" xfId="8" applyFont="1" applyAlignment="1" applyProtection="1">
      <alignment vertical="center"/>
    </xf>
    <xf numFmtId="0" fontId="5" fillId="0" borderId="0" xfId="8" applyNumberFormat="1" applyFont="1" applyAlignment="1" applyProtection="1">
      <alignment vertical="center"/>
    </xf>
    <xf numFmtId="0" fontId="5" fillId="0" borderId="0" xfId="8" applyFont="1" applyAlignment="1" applyProtection="1">
      <alignment horizontal="center" vertical="center"/>
    </xf>
    <xf numFmtId="0" fontId="29" fillId="0" borderId="0" xfId="9" applyNumberFormat="1" applyFont="1" applyFill="1" applyAlignment="1" applyProtection="1">
      <alignment vertical="center"/>
    </xf>
    <xf numFmtId="0" fontId="29" fillId="0" borderId="0" xfId="9" applyFont="1" applyFill="1" applyAlignment="1" applyProtection="1">
      <alignment horizontal="left" vertical="center"/>
    </xf>
    <xf numFmtId="0" fontId="29" fillId="0" borderId="0" xfId="9" applyFont="1" applyAlignment="1" applyProtection="1">
      <alignment vertical="center"/>
    </xf>
    <xf numFmtId="0" fontId="29" fillId="0" borderId="0" xfId="9" applyFont="1" applyFill="1" applyAlignment="1" applyProtection="1">
      <alignment vertical="center" wrapText="1"/>
    </xf>
    <xf numFmtId="0" fontId="29" fillId="0" borderId="0" xfId="9" applyFont="1" applyAlignment="1" applyProtection="1">
      <alignment vertical="center" wrapText="1"/>
    </xf>
    <xf numFmtId="0" fontId="30" fillId="0" borderId="0" xfId="9" applyFont="1" applyAlignment="1" applyProtection="1">
      <alignment vertical="center" wrapText="1"/>
    </xf>
    <xf numFmtId="0" fontId="29" fillId="0" borderId="0" xfId="9" applyFont="1" applyFill="1" applyAlignment="1" applyProtection="1">
      <alignment vertical="center"/>
    </xf>
    <xf numFmtId="0" fontId="31" fillId="0" borderId="0" xfId="9" applyFont="1" applyAlignment="1" applyProtection="1">
      <alignment vertical="center"/>
    </xf>
    <xf numFmtId="0" fontId="30" fillId="8" borderId="0" xfId="10" applyFont="1" applyFill="1" applyBorder="1" applyAlignment="1" applyProtection="1">
      <alignment vertical="center" wrapText="1"/>
    </xf>
    <xf numFmtId="0" fontId="30" fillId="0" borderId="0" xfId="10" applyFont="1" applyFill="1" applyBorder="1" applyAlignment="1" applyProtection="1">
      <alignment vertical="center" wrapText="1"/>
    </xf>
    <xf numFmtId="0" fontId="30" fillId="0" borderId="0" xfId="9" applyFont="1" applyFill="1" applyAlignment="1" applyProtection="1">
      <alignment vertical="center" wrapText="1"/>
    </xf>
    <xf numFmtId="0" fontId="21" fillId="0" borderId="0" xfId="8" applyFont="1" applyAlignment="1" applyProtection="1">
      <alignment vertical="center"/>
    </xf>
    <xf numFmtId="0" fontId="21" fillId="8" borderId="0" xfId="8" applyFont="1" applyFill="1" applyBorder="1" applyAlignment="1" applyProtection="1">
      <alignment vertical="center"/>
    </xf>
    <xf numFmtId="49" fontId="21" fillId="8" borderId="0" xfId="8" applyNumberFormat="1" applyFont="1" applyFill="1" applyBorder="1" applyAlignment="1" applyProtection="1">
      <alignment vertical="center"/>
    </xf>
    <xf numFmtId="0" fontId="21" fillId="8" borderId="0" xfId="8" applyFont="1" applyFill="1" applyBorder="1" applyAlignment="1" applyProtection="1">
      <alignment horizontal="center" vertical="center"/>
    </xf>
    <xf numFmtId="0" fontId="21" fillId="0" borderId="0" xfId="8" applyFont="1" applyFill="1" applyBorder="1" applyAlignment="1" applyProtection="1">
      <alignment horizontal="center" vertical="center"/>
    </xf>
    <xf numFmtId="0" fontId="7" fillId="0" borderId="0" xfId="8"/>
    <xf numFmtId="0" fontId="7" fillId="0" borderId="0" xfId="8" applyFont="1" applyBorder="1"/>
    <xf numFmtId="0" fontId="7" fillId="0" borderId="0" xfId="8" applyBorder="1"/>
    <xf numFmtId="0" fontId="7" fillId="0" borderId="0" xfId="8" applyFill="1"/>
    <xf numFmtId="0" fontId="7" fillId="0" borderId="0" xfId="8" applyFont="1"/>
    <xf numFmtId="0" fontId="5" fillId="8" borderId="0" xfId="8" applyFont="1" applyFill="1" applyBorder="1" applyAlignment="1" applyProtection="1">
      <alignment vertical="center"/>
    </xf>
    <xf numFmtId="0" fontId="5" fillId="8" borderId="0" xfId="8" applyNumberFormat="1" applyFont="1" applyFill="1" applyBorder="1" applyAlignment="1" applyProtection="1">
      <alignment vertical="center"/>
    </xf>
    <xf numFmtId="0" fontId="5" fillId="8" borderId="0" xfId="8" applyFont="1" applyFill="1" applyBorder="1" applyAlignment="1" applyProtection="1">
      <alignment horizontal="center" vertical="center"/>
    </xf>
    <xf numFmtId="0" fontId="32" fillId="8" borderId="0" xfId="8" applyFont="1" applyFill="1" applyBorder="1" applyAlignment="1" applyProtection="1">
      <alignment vertical="center"/>
    </xf>
    <xf numFmtId="0" fontId="32" fillId="0" borderId="0" xfId="8" applyFont="1" applyFill="1" applyBorder="1" applyAlignment="1" applyProtection="1">
      <alignment vertical="center"/>
    </xf>
    <xf numFmtId="0" fontId="5" fillId="0" borderId="0" xfId="8" applyFont="1" applyFill="1" applyBorder="1" applyAlignment="1" applyProtection="1">
      <alignment vertical="center"/>
    </xf>
    <xf numFmtId="0" fontId="5" fillId="0" borderId="0" xfId="8" applyFont="1" applyBorder="1" applyAlignment="1" applyProtection="1">
      <alignment vertical="center"/>
    </xf>
    <xf numFmtId="0" fontId="5" fillId="0" borderId="4" xfId="8" applyNumberFormat="1" applyFont="1" applyFill="1" applyBorder="1" applyAlignment="1" applyProtection="1">
      <alignment vertical="center" wrapText="1"/>
    </xf>
    <xf numFmtId="0" fontId="5" fillId="0" borderId="4" xfId="8" applyNumberFormat="1" applyFont="1" applyBorder="1" applyAlignment="1" applyProtection="1">
      <alignment vertical="center" wrapText="1"/>
    </xf>
    <xf numFmtId="0" fontId="5" fillId="8" borderId="13" xfId="8" applyFont="1" applyFill="1" applyBorder="1" applyAlignment="1" applyProtection="1">
      <alignment vertical="center"/>
    </xf>
    <xf numFmtId="0" fontId="5" fillId="0" borderId="4" xfId="11" applyFont="1" applyFill="1" applyBorder="1" applyAlignment="1" applyProtection="1">
      <alignment horizontal="center" vertical="center" wrapText="1"/>
    </xf>
    <xf numFmtId="0" fontId="5" fillId="0" borderId="15" xfId="11" applyFont="1" applyBorder="1" applyAlignment="1" applyProtection="1">
      <alignment horizontal="center" vertical="center" wrapText="1"/>
    </xf>
    <xf numFmtId="0" fontId="5" fillId="0" borderId="16" xfId="11" applyFont="1" applyBorder="1" applyAlignment="1" applyProtection="1">
      <alignment horizontal="center" vertical="center" wrapText="1"/>
    </xf>
    <xf numFmtId="0" fontId="5" fillId="0" borderId="4" xfId="11" applyFont="1" applyBorder="1" applyAlignment="1" applyProtection="1">
      <alignment horizontal="center" vertical="center" wrapText="1"/>
    </xf>
    <xf numFmtId="0" fontId="5" fillId="0" borderId="17" xfId="11" applyFont="1" applyBorder="1" applyAlignment="1" applyProtection="1">
      <alignment horizontal="center" vertical="center" wrapText="1"/>
    </xf>
    <xf numFmtId="0" fontId="5" fillId="8" borderId="17" xfId="8" applyFont="1" applyFill="1" applyBorder="1" applyAlignment="1" applyProtection="1">
      <alignment vertical="center"/>
    </xf>
    <xf numFmtId="0" fontId="5" fillId="0" borderId="20" xfId="11" applyFont="1" applyFill="1" applyBorder="1" applyAlignment="1" applyProtection="1">
      <alignment horizontal="center" vertical="center" wrapText="1"/>
    </xf>
    <xf numFmtId="0" fontId="5" fillId="0" borderId="0" xfId="11" applyFont="1" applyBorder="1" applyAlignment="1" applyProtection="1">
      <alignment horizontal="center" vertical="center" wrapText="1"/>
    </xf>
    <xf numFmtId="0" fontId="34" fillId="0" borderId="16" xfId="11" applyFont="1" applyFill="1" applyBorder="1" applyAlignment="1" applyProtection="1">
      <alignment horizontal="center" vertical="center" wrapText="1"/>
    </xf>
    <xf numFmtId="0" fontId="32" fillId="0" borderId="16" xfId="11" applyNumberFormat="1" applyFont="1" applyFill="1" applyBorder="1" applyAlignment="1" applyProtection="1">
      <alignment horizontal="center" vertical="center" wrapText="1"/>
    </xf>
    <xf numFmtId="0" fontId="34" fillId="0" borderId="4" xfId="11" applyNumberFormat="1" applyFont="1" applyFill="1" applyBorder="1" applyAlignment="1" applyProtection="1">
      <alignment horizontal="center" vertical="center" wrapText="1"/>
    </xf>
    <xf numFmtId="0" fontId="34" fillId="0" borderId="15" xfId="11" applyNumberFormat="1" applyFont="1" applyBorder="1" applyAlignment="1" applyProtection="1">
      <alignment horizontal="center" vertical="center" wrapText="1"/>
    </xf>
    <xf numFmtId="0" fontId="34" fillId="0" borderId="16" xfId="11" applyNumberFormat="1" applyFont="1" applyBorder="1" applyAlignment="1" applyProtection="1">
      <alignment horizontal="center" vertical="center" wrapText="1"/>
    </xf>
    <xf numFmtId="0" fontId="5" fillId="0" borderId="16" xfId="11" applyNumberFormat="1" applyFont="1" applyBorder="1" applyAlignment="1" applyProtection="1">
      <alignment horizontal="center" vertical="center" wrapText="1"/>
    </xf>
    <xf numFmtId="0" fontId="5" fillId="0" borderId="15" xfId="11" applyNumberFormat="1" applyFont="1" applyBorder="1" applyAlignment="1" applyProtection="1">
      <alignment horizontal="center" vertical="center" wrapText="1"/>
    </xf>
    <xf numFmtId="0" fontId="34" fillId="0" borderId="16" xfId="11" applyFont="1" applyBorder="1" applyAlignment="1" applyProtection="1">
      <alignment horizontal="center" vertical="center" wrapText="1"/>
    </xf>
    <xf numFmtId="4" fontId="5" fillId="4" borderId="21" xfId="12" applyNumberFormat="1" applyFont="1" applyFill="1" applyBorder="1" applyAlignment="1" applyProtection="1">
      <alignment horizontal="right" vertical="center"/>
    </xf>
    <xf numFmtId="4" fontId="5" fillId="0" borderId="21" xfId="12" applyNumberFormat="1" applyFont="1" applyFill="1" applyBorder="1" applyAlignment="1" applyProtection="1">
      <alignment horizontal="right" vertical="center"/>
    </xf>
    <xf numFmtId="4" fontId="5" fillId="0" borderId="21" xfId="13" applyNumberFormat="1" applyFont="1" applyFill="1" applyBorder="1" applyAlignment="1" applyProtection="1">
      <alignment horizontal="right" vertical="center"/>
    </xf>
    <xf numFmtId="4" fontId="5" fillId="10" borderId="0" xfId="12" applyNumberFormat="1" applyFont="1" applyBorder="1" applyAlignment="1" applyProtection="1">
      <alignment horizontal="right" vertical="center"/>
      <protection locked="0"/>
    </xf>
    <xf numFmtId="4" fontId="5" fillId="4" borderId="4" xfId="13" applyNumberFormat="1" applyFont="1" applyBorder="1" applyAlignment="1" applyProtection="1">
      <alignment horizontal="right" vertical="center"/>
    </xf>
    <xf numFmtId="4" fontId="5" fillId="4" borderId="17" xfId="13" applyNumberFormat="1" applyFont="1" applyBorder="1" applyAlignment="1" applyProtection="1">
      <alignment horizontal="right" vertical="center"/>
    </xf>
    <xf numFmtId="4" fontId="5" fillId="10" borderId="17" xfId="12" applyNumberFormat="1" applyFont="1" applyBorder="1" applyAlignment="1" applyProtection="1">
      <alignment horizontal="right" vertical="center"/>
      <protection locked="0"/>
    </xf>
    <xf numFmtId="4" fontId="5" fillId="4" borderId="16" xfId="13" applyNumberFormat="1" applyFont="1" applyBorder="1" applyAlignment="1" applyProtection="1">
      <alignment horizontal="right" vertical="center"/>
    </xf>
    <xf numFmtId="4" fontId="5" fillId="10" borderId="7" xfId="14" applyNumberFormat="1" applyFont="1" applyFill="1" applyBorder="1" applyAlignment="1" applyProtection="1">
      <alignment horizontal="center" vertical="center" wrapText="1"/>
      <protection locked="0"/>
    </xf>
    <xf numFmtId="4" fontId="5" fillId="4" borderId="4" xfId="12" applyNumberFormat="1" applyFont="1" applyFill="1" applyBorder="1" applyAlignment="1" applyProtection="1">
      <alignment horizontal="right" vertical="center"/>
    </xf>
    <xf numFmtId="4" fontId="5" fillId="0" borderId="4" xfId="12" applyNumberFormat="1" applyFont="1" applyFill="1" applyBorder="1" applyAlignment="1" applyProtection="1">
      <alignment horizontal="right" vertical="center"/>
    </xf>
    <xf numFmtId="4" fontId="5" fillId="0" borderId="4" xfId="13" applyNumberFormat="1" applyFont="1" applyFill="1" applyBorder="1" applyAlignment="1" applyProtection="1">
      <alignment horizontal="right" vertical="center"/>
    </xf>
    <xf numFmtId="4" fontId="5" fillId="10" borderId="15" xfId="12" applyNumberFormat="1" applyFont="1" applyBorder="1" applyAlignment="1" applyProtection="1">
      <alignment horizontal="right" vertical="center"/>
      <protection locked="0"/>
    </xf>
    <xf numFmtId="4" fontId="5" fillId="10" borderId="16" xfId="12" applyNumberFormat="1" applyFont="1" applyBorder="1" applyAlignment="1" applyProtection="1">
      <alignment horizontal="right" vertical="center"/>
      <protection locked="0"/>
    </xf>
    <xf numFmtId="49" fontId="32" fillId="8" borderId="15" xfId="8" applyNumberFormat="1" applyFont="1" applyFill="1" applyBorder="1" applyAlignment="1" applyProtection="1">
      <alignment horizontal="center" vertical="center"/>
    </xf>
    <xf numFmtId="49" fontId="32" fillId="8" borderId="16" xfId="8" applyNumberFormat="1" applyFont="1" applyFill="1" applyBorder="1" applyAlignment="1" applyProtection="1">
      <alignment horizontal="center" vertical="center"/>
    </xf>
    <xf numFmtId="0" fontId="5" fillId="8" borderId="15" xfId="8" applyFont="1" applyFill="1" applyBorder="1" applyAlignment="1" applyProtection="1">
      <alignment horizontal="center" vertical="center" wrapText="1"/>
    </xf>
    <xf numFmtId="0" fontId="32" fillId="8" borderId="16" xfId="11" applyFont="1" applyFill="1" applyBorder="1" applyAlignment="1" applyProtection="1">
      <alignment horizontal="left" vertical="center" wrapText="1"/>
    </xf>
    <xf numFmtId="4" fontId="5" fillId="0" borderId="16" xfId="12" applyNumberFormat="1" applyFont="1" applyFill="1" applyBorder="1" applyAlignment="1" applyProtection="1">
      <alignment horizontal="right" vertical="center"/>
    </xf>
    <xf numFmtId="4" fontId="5" fillId="0" borderId="16" xfId="13" applyNumberFormat="1" applyFont="1" applyFill="1" applyBorder="1" applyAlignment="1" applyProtection="1">
      <alignment horizontal="right" vertical="center"/>
    </xf>
    <xf numFmtId="0" fontId="5" fillId="8" borderId="16" xfId="8" applyFont="1" applyFill="1" applyBorder="1" applyAlignment="1" applyProtection="1">
      <alignment horizontal="center" vertical="center" wrapText="1"/>
    </xf>
    <xf numFmtId="4" fontId="5" fillId="10" borderId="16" xfId="12" applyNumberFormat="1" applyFont="1" applyFill="1" applyBorder="1" applyAlignment="1" applyProtection="1">
      <alignment horizontal="right" vertical="center"/>
      <protection locked="0"/>
    </xf>
    <xf numFmtId="0" fontId="32" fillId="8" borderId="16" xfId="8" applyNumberFormat="1" applyFont="1" applyFill="1" applyBorder="1" applyAlignment="1" applyProtection="1">
      <alignment vertical="center"/>
    </xf>
    <xf numFmtId="0" fontId="5" fillId="0" borderId="15" xfId="8" applyFont="1" applyBorder="1" applyAlignment="1" applyProtection="1">
      <alignment horizontal="center" vertical="center"/>
    </xf>
    <xf numFmtId="0" fontId="5" fillId="0" borderId="16" xfId="8" applyFont="1" applyBorder="1" applyAlignment="1" applyProtection="1">
      <alignment horizontal="center" vertical="center"/>
    </xf>
    <xf numFmtId="4" fontId="5" fillId="0" borderId="20" xfId="12" applyNumberFormat="1" applyFont="1" applyFill="1" applyBorder="1" applyAlignment="1" applyProtection="1">
      <alignment horizontal="right" vertical="center"/>
    </xf>
    <xf numFmtId="4" fontId="5" fillId="0" borderId="20" xfId="13" applyNumberFormat="1" applyFont="1" applyFill="1" applyBorder="1" applyAlignment="1" applyProtection="1">
      <alignment horizontal="right" vertical="center"/>
    </xf>
    <xf numFmtId="0" fontId="33" fillId="8" borderId="0" xfId="8" applyFont="1" applyFill="1" applyBorder="1" applyAlignment="1" applyProtection="1">
      <alignment vertical="center"/>
    </xf>
    <xf numFmtId="0" fontId="33" fillId="0" borderId="16" xfId="8" applyFont="1" applyBorder="1" applyAlignment="1" applyProtection="1">
      <alignment horizontal="center" vertical="center"/>
    </xf>
    <xf numFmtId="49" fontId="35" fillId="8" borderId="16" xfId="8" applyNumberFormat="1" applyFont="1" applyFill="1" applyBorder="1" applyAlignment="1" applyProtection="1">
      <alignment horizontal="center" vertical="center"/>
    </xf>
    <xf numFmtId="0" fontId="33" fillId="8" borderId="16" xfId="8" applyFont="1" applyFill="1" applyBorder="1" applyAlignment="1" applyProtection="1">
      <alignment horizontal="center" vertical="center" wrapText="1"/>
    </xf>
    <xf numFmtId="0" fontId="35" fillId="8" borderId="16" xfId="8" applyFont="1" applyFill="1" applyBorder="1" applyAlignment="1" applyProtection="1">
      <alignment vertical="center"/>
    </xf>
    <xf numFmtId="4" fontId="33" fillId="0" borderId="4" xfId="8" applyNumberFormat="1" applyFont="1" applyFill="1" applyBorder="1" applyAlignment="1" applyProtection="1">
      <alignment vertical="center"/>
    </xf>
    <xf numFmtId="4" fontId="33" fillId="0" borderId="4" xfId="13" applyNumberFormat="1" applyFont="1" applyFill="1" applyBorder="1" applyAlignment="1" applyProtection="1">
      <alignment horizontal="right" vertical="center"/>
    </xf>
    <xf numFmtId="4" fontId="33" fillId="4" borderId="27" xfId="13" applyNumberFormat="1" applyFont="1" applyBorder="1" applyAlignment="1" applyProtection="1">
      <alignment horizontal="right" vertical="center"/>
    </xf>
    <xf numFmtId="4" fontId="33" fillId="4" borderId="4" xfId="13" applyNumberFormat="1" applyFont="1" applyBorder="1" applyAlignment="1" applyProtection="1">
      <alignment horizontal="right" vertical="center"/>
    </xf>
    <xf numFmtId="4" fontId="33" fillId="4" borderId="28" xfId="13" applyNumberFormat="1" applyFont="1" applyBorder="1" applyAlignment="1" applyProtection="1">
      <alignment horizontal="right" vertical="center"/>
    </xf>
    <xf numFmtId="4" fontId="33" fillId="0" borderId="16" xfId="13" applyNumberFormat="1" applyFont="1" applyFill="1" applyBorder="1" applyAlignment="1" applyProtection="1">
      <alignment horizontal="right" vertical="center"/>
    </xf>
    <xf numFmtId="4" fontId="33" fillId="0" borderId="16" xfId="8" applyNumberFormat="1" applyFont="1" applyFill="1" applyBorder="1" applyAlignment="1" applyProtection="1">
      <alignment vertical="center"/>
    </xf>
    <xf numFmtId="0" fontId="33" fillId="8" borderId="17" xfId="8" applyFont="1" applyFill="1" applyBorder="1" applyAlignment="1" applyProtection="1">
      <alignment vertical="center"/>
    </xf>
    <xf numFmtId="0" fontId="33" fillId="8" borderId="13" xfId="8" applyFont="1" applyFill="1" applyBorder="1" applyAlignment="1" applyProtection="1">
      <alignment vertical="center"/>
    </xf>
    <xf numFmtId="4" fontId="33" fillId="10" borderId="7" xfId="14" applyNumberFormat="1" applyFont="1" applyFill="1" applyBorder="1" applyAlignment="1" applyProtection="1">
      <alignment horizontal="center" vertical="center" wrapText="1"/>
      <protection locked="0"/>
    </xf>
    <xf numFmtId="0" fontId="33" fillId="0" borderId="0" xfId="8" applyFont="1" applyAlignment="1" applyProtection="1">
      <alignment vertical="center"/>
    </xf>
    <xf numFmtId="4" fontId="5" fillId="10" borderId="0" xfId="12" applyNumberFormat="1" applyFont="1" applyFill="1" applyBorder="1" applyAlignment="1" applyProtection="1">
      <alignment horizontal="right" vertical="center"/>
      <protection locked="0"/>
    </xf>
    <xf numFmtId="4" fontId="5" fillId="10" borderId="15" xfId="12" applyNumberFormat="1" applyFont="1" applyFill="1" applyBorder="1" applyAlignment="1" applyProtection="1">
      <alignment horizontal="right" vertical="center"/>
      <protection locked="0"/>
    </xf>
    <xf numFmtId="0" fontId="0" fillId="0" borderId="4" xfId="8" applyFont="1" applyBorder="1" applyAlignment="1" applyProtection="1">
      <alignment horizontal="center" vertical="center"/>
    </xf>
    <xf numFmtId="0" fontId="5" fillId="11" borderId="4" xfId="8" applyFont="1" applyFill="1" applyBorder="1" applyAlignment="1" applyProtection="1">
      <alignment horizontal="center" vertical="center"/>
    </xf>
    <xf numFmtId="49" fontId="32" fillId="11" borderId="15" xfId="8" applyNumberFormat="1" applyFont="1" applyFill="1" applyBorder="1" applyAlignment="1" applyProtection="1">
      <alignment horizontal="center" vertical="center"/>
    </xf>
    <xf numFmtId="49" fontId="32" fillId="11" borderId="16" xfId="8" applyNumberFormat="1" applyFont="1" applyFill="1" applyBorder="1" applyAlignment="1" applyProtection="1">
      <alignment horizontal="center" vertical="center"/>
    </xf>
    <xf numFmtId="0" fontId="5" fillId="11" borderId="16" xfId="8" applyFont="1" applyFill="1" applyBorder="1" applyAlignment="1" applyProtection="1">
      <alignment horizontal="center" vertical="center"/>
    </xf>
    <xf numFmtId="0" fontId="5" fillId="11" borderId="16" xfId="8" applyFont="1" applyFill="1" applyBorder="1" applyAlignment="1" applyProtection="1">
      <alignment horizontal="center" vertical="center" wrapText="1"/>
    </xf>
    <xf numFmtId="0" fontId="32" fillId="11" borderId="16" xfId="8" applyNumberFormat="1" applyFont="1" applyFill="1" applyBorder="1" applyAlignment="1" applyProtection="1">
      <alignment vertical="center"/>
    </xf>
    <xf numFmtId="4" fontId="5" fillId="11" borderId="4" xfId="12" applyNumberFormat="1" applyFont="1" applyFill="1" applyBorder="1" applyAlignment="1" applyProtection="1">
      <alignment horizontal="right" vertical="center"/>
    </xf>
    <xf numFmtId="4" fontId="5" fillId="11" borderId="4" xfId="13" applyNumberFormat="1" applyFont="1" applyFill="1" applyBorder="1" applyAlignment="1" applyProtection="1">
      <alignment horizontal="right" vertical="center"/>
    </xf>
    <xf numFmtId="4" fontId="5" fillId="11" borderId="15" xfId="12" applyNumberFormat="1" applyFont="1" applyFill="1" applyBorder="1" applyAlignment="1" applyProtection="1">
      <alignment horizontal="right" vertical="center"/>
    </xf>
    <xf numFmtId="4" fontId="5" fillId="11" borderId="16" xfId="13" applyNumberFormat="1" applyFont="1" applyFill="1" applyBorder="1" applyAlignment="1" applyProtection="1">
      <alignment horizontal="right" vertical="center"/>
    </xf>
    <xf numFmtId="4" fontId="5" fillId="11" borderId="16" xfId="12" applyNumberFormat="1" applyFont="1" applyFill="1" applyBorder="1" applyAlignment="1" applyProtection="1">
      <alignment horizontal="right" vertical="center"/>
    </xf>
    <xf numFmtId="0" fontId="5" fillId="0" borderId="4" xfId="8" applyFont="1" applyBorder="1" applyAlignment="1" applyProtection="1">
      <alignment horizontal="center" vertical="center"/>
    </xf>
    <xf numFmtId="4" fontId="5" fillId="4" borderId="20" xfId="13" applyNumberFormat="1" applyFont="1" applyBorder="1" applyAlignment="1" applyProtection="1">
      <alignment horizontal="right" vertical="center"/>
    </xf>
    <xf numFmtId="0" fontId="33" fillId="0" borderId="17" xfId="8" applyFont="1" applyBorder="1" applyAlignment="1" applyProtection="1">
      <alignment horizontal="center" vertical="center"/>
    </xf>
    <xf numFmtId="4" fontId="33" fillId="0" borderId="27" xfId="13" applyNumberFormat="1" applyFont="1" applyFill="1" applyBorder="1" applyAlignment="1" applyProtection="1">
      <alignment horizontal="right" vertical="center"/>
    </xf>
    <xf numFmtId="4" fontId="5" fillId="10" borderId="17" xfId="12" applyNumberFormat="1" applyFont="1" applyFill="1" applyBorder="1" applyAlignment="1" applyProtection="1">
      <alignment horizontal="right" vertical="center"/>
      <protection locked="0"/>
    </xf>
    <xf numFmtId="4" fontId="33" fillId="4" borderId="15" xfId="13" applyNumberFormat="1" applyFont="1" applyBorder="1" applyAlignment="1" applyProtection="1">
      <alignment horizontal="right" vertical="center"/>
    </xf>
    <xf numFmtId="4" fontId="33" fillId="4" borderId="16" xfId="13" applyNumberFormat="1" applyFont="1" applyBorder="1" applyAlignment="1" applyProtection="1">
      <alignment horizontal="right" vertical="center"/>
    </xf>
    <xf numFmtId="0" fontId="33" fillId="8" borderId="0" xfId="8" applyNumberFormat="1" applyFont="1" applyFill="1" applyBorder="1" applyAlignment="1" applyProtection="1">
      <alignment vertical="center"/>
    </xf>
    <xf numFmtId="0" fontId="35" fillId="8" borderId="4" xfId="8" applyNumberFormat="1" applyFont="1" applyFill="1" applyBorder="1" applyAlignment="1" applyProtection="1">
      <alignment horizontal="center" vertical="center"/>
    </xf>
    <xf numFmtId="4" fontId="33" fillId="0" borderId="4" xfId="12" applyNumberFormat="1" applyFont="1" applyFill="1" applyBorder="1" applyAlignment="1" applyProtection="1">
      <alignment horizontal="center" vertical="center"/>
    </xf>
    <xf numFmtId="4" fontId="33" fillId="0" borderId="4" xfId="12" applyNumberFormat="1" applyFont="1" applyFill="1" applyBorder="1" applyAlignment="1" applyProtection="1">
      <alignment horizontal="right" vertical="center"/>
    </xf>
    <xf numFmtId="4" fontId="33" fillId="0" borderId="16" xfId="12" applyNumberFormat="1" applyFont="1" applyFill="1" applyBorder="1" applyAlignment="1" applyProtection="1">
      <alignment horizontal="right" vertical="center"/>
    </xf>
    <xf numFmtId="0" fontId="33" fillId="8" borderId="17" xfId="8" applyNumberFormat="1" applyFont="1" applyFill="1" applyBorder="1" applyAlignment="1" applyProtection="1">
      <alignment vertical="center"/>
    </xf>
    <xf numFmtId="0" fontId="33" fillId="8" borderId="13" xfId="8" applyNumberFormat="1" applyFont="1" applyFill="1" applyBorder="1" applyAlignment="1" applyProtection="1">
      <alignment vertical="center"/>
    </xf>
    <xf numFmtId="0" fontId="33" fillId="0" borderId="0" xfId="8" applyNumberFormat="1" applyFont="1" applyAlignment="1" applyProtection="1">
      <alignment vertical="center"/>
    </xf>
    <xf numFmtId="4" fontId="33" fillId="0" borderId="4" xfId="13" applyFont="1" applyFill="1" applyBorder="1" applyAlignment="1" applyProtection="1">
      <alignment horizontal="center" vertical="center"/>
    </xf>
    <xf numFmtId="4" fontId="33" fillId="0" borderId="4" xfId="13" applyFont="1" applyFill="1" applyBorder="1" applyAlignment="1" applyProtection="1">
      <alignment horizontal="right" vertical="center"/>
    </xf>
    <xf numFmtId="4" fontId="33" fillId="0" borderId="16" xfId="13" applyFont="1" applyFill="1" applyBorder="1" applyAlignment="1" applyProtection="1">
      <alignment horizontal="right" vertical="center"/>
    </xf>
    <xf numFmtId="0" fontId="5" fillId="8" borderId="0" xfId="8" applyNumberFormat="1" applyFont="1" applyFill="1" applyBorder="1" applyAlignment="1" applyProtection="1">
      <alignment horizontal="center" vertical="center"/>
    </xf>
    <xf numFmtId="0" fontId="5" fillId="0" borderId="0" xfId="8" applyNumberFormat="1" applyFont="1" applyFill="1" applyBorder="1" applyAlignment="1" applyProtection="1">
      <alignment vertical="center"/>
    </xf>
    <xf numFmtId="0" fontId="5" fillId="8" borderId="15" xfId="8" applyNumberFormat="1" applyFont="1" applyFill="1" applyBorder="1" applyAlignment="1" applyProtection="1">
      <alignment vertical="center"/>
    </xf>
    <xf numFmtId="0" fontId="5" fillId="0" borderId="15" xfId="8" applyNumberFormat="1" applyFont="1" applyBorder="1" applyAlignment="1" applyProtection="1">
      <alignment vertical="center"/>
    </xf>
    <xf numFmtId="0" fontId="5" fillId="0" borderId="0" xfId="8" applyNumberFormat="1" applyFont="1" applyAlignment="1" applyProtection="1">
      <alignment horizontal="center" vertical="center"/>
    </xf>
    <xf numFmtId="0" fontId="5" fillId="0" borderId="0" xfId="8" applyNumberFormat="1" applyFont="1" applyFill="1" applyAlignment="1" applyProtection="1">
      <alignment vertical="center"/>
    </xf>
    <xf numFmtId="0" fontId="5" fillId="0" borderId="0" xfId="8" applyFont="1" applyFill="1" applyAlignment="1" applyProtection="1">
      <alignment vertical="center"/>
    </xf>
    <xf numFmtId="0" fontId="5" fillId="12" borderId="0" xfId="8" applyFont="1" applyFill="1" applyAlignment="1" applyProtection="1">
      <alignment vertical="center"/>
    </xf>
    <xf numFmtId="49" fontId="5" fillId="0" borderId="0" xfId="8" applyNumberFormat="1" applyFont="1" applyAlignment="1" applyProtection="1">
      <alignment vertical="center"/>
    </xf>
    <xf numFmtId="49" fontId="5" fillId="0" borderId="0" xfId="8" applyNumberFormat="1" applyFont="1" applyFill="1" applyAlignment="1" applyProtection="1">
      <alignment vertical="center"/>
    </xf>
    <xf numFmtId="0" fontId="21" fillId="0" borderId="0" xfId="8" applyFont="1" applyBorder="1" applyAlignment="1" applyProtection="1">
      <alignment vertical="center"/>
    </xf>
    <xf numFmtId="49" fontId="5" fillId="8" borderId="0" xfId="8" applyNumberFormat="1" applyFont="1" applyFill="1" applyBorder="1" applyAlignment="1" applyProtection="1">
      <alignment vertical="center"/>
    </xf>
    <xf numFmtId="49" fontId="5" fillId="8" borderId="0" xfId="8" applyNumberFormat="1" applyFont="1" applyFill="1" applyBorder="1" applyAlignment="1" applyProtection="1">
      <alignment vertical="center" wrapText="1"/>
    </xf>
    <xf numFmtId="0" fontId="17" fillId="0" borderId="0" xfId="8" applyFont="1" applyAlignment="1" applyProtection="1">
      <alignment vertical="center"/>
    </xf>
    <xf numFmtId="0" fontId="17" fillId="8" borderId="0" xfId="8" applyFont="1" applyFill="1" applyBorder="1" applyAlignment="1" applyProtection="1">
      <alignment vertical="center"/>
    </xf>
    <xf numFmtId="0" fontId="17" fillId="8" borderId="17" xfId="8" applyFont="1" applyFill="1" applyBorder="1" applyAlignment="1" applyProtection="1">
      <alignment vertical="center"/>
    </xf>
    <xf numFmtId="0" fontId="17" fillId="8" borderId="13" xfId="8" applyFont="1" applyFill="1" applyBorder="1" applyAlignment="1" applyProtection="1">
      <alignment vertical="center"/>
    </xf>
    <xf numFmtId="0" fontId="5" fillId="0" borderId="17" xfId="11" applyFont="1" applyFill="1" applyBorder="1" applyAlignment="1" applyProtection="1">
      <alignment horizontal="center" vertical="center" wrapText="1"/>
    </xf>
    <xf numFmtId="0" fontId="17" fillId="0" borderId="0" xfId="8" applyFont="1" applyAlignment="1" applyProtection="1">
      <alignment horizontal="center" vertical="center"/>
    </xf>
    <xf numFmtId="0" fontId="17" fillId="8" borderId="0" xfId="8" applyFont="1" applyFill="1" applyBorder="1" applyAlignment="1" applyProtection="1">
      <alignment horizontal="center" vertical="center"/>
    </xf>
    <xf numFmtId="0" fontId="32" fillId="0" borderId="0" xfId="8" applyFont="1" applyAlignment="1" applyProtection="1">
      <alignment horizontal="center" vertical="center"/>
    </xf>
    <xf numFmtId="0" fontId="32" fillId="8" borderId="0" xfId="8" applyFont="1" applyFill="1" applyBorder="1" applyAlignment="1" applyProtection="1">
      <alignment horizontal="center" vertical="center"/>
    </xf>
    <xf numFmtId="0" fontId="34" fillId="0" borderId="4" xfId="11" applyNumberFormat="1" applyFont="1" applyBorder="1" applyAlignment="1" applyProtection="1">
      <alignment horizontal="center" vertical="center" wrapText="1"/>
    </xf>
    <xf numFmtId="49" fontId="32" fillId="0" borderId="4" xfId="11" applyNumberFormat="1" applyFont="1" applyBorder="1" applyAlignment="1" applyProtection="1">
      <alignment horizontal="center" vertical="center" wrapText="1"/>
    </xf>
    <xf numFmtId="4" fontId="5" fillId="4" borderId="4" xfId="12" applyNumberFormat="1" applyFont="1" applyFill="1" applyBorder="1" applyAlignment="1" applyProtection="1">
      <alignment horizontal="center" vertical="center"/>
    </xf>
    <xf numFmtId="4" fontId="5" fillId="10" borderId="4" xfId="12" applyNumberFormat="1" applyFont="1" applyBorder="1" applyAlignment="1" applyProtection="1">
      <alignment horizontal="right" vertical="center"/>
      <protection locked="0"/>
    </xf>
    <xf numFmtId="4" fontId="5" fillId="10" borderId="4" xfId="14" applyNumberFormat="1" applyFont="1" applyFill="1" applyBorder="1" applyAlignment="1" applyProtection="1">
      <alignment horizontal="center" vertical="center" wrapText="1"/>
      <protection locked="0"/>
    </xf>
    <xf numFmtId="49" fontId="32" fillId="0" borderId="4" xfId="8" applyNumberFormat="1" applyFont="1" applyBorder="1" applyAlignment="1" applyProtection="1">
      <alignment vertical="center" wrapText="1"/>
    </xf>
    <xf numFmtId="49" fontId="32" fillId="0" borderId="4" xfId="8" applyNumberFormat="1" applyFont="1" applyBorder="1" applyAlignment="1" applyProtection="1">
      <alignment vertical="center"/>
    </xf>
    <xf numFmtId="49" fontId="5" fillId="0" borderId="4" xfId="8" applyNumberFormat="1" applyFont="1" applyFill="1" applyBorder="1" applyAlignment="1" applyProtection="1">
      <alignment horizontal="center" vertical="center"/>
    </xf>
    <xf numFmtId="4" fontId="5" fillId="10" borderId="4" xfId="12" applyNumberFormat="1" applyFont="1" applyFill="1" applyBorder="1" applyAlignment="1" applyProtection="1">
      <alignment horizontal="right" vertical="center"/>
      <protection locked="0"/>
    </xf>
    <xf numFmtId="49" fontId="5" fillId="0" borderId="4" xfId="8" applyNumberFormat="1" applyFont="1" applyBorder="1" applyAlignment="1" applyProtection="1">
      <alignment horizontal="center" vertical="center"/>
    </xf>
    <xf numFmtId="0" fontId="5" fillId="0" borderId="4" xfId="8" applyNumberFormat="1" applyFont="1" applyBorder="1" applyAlignment="1" applyProtection="1">
      <alignment horizontal="center" vertical="center"/>
    </xf>
    <xf numFmtId="49" fontId="5" fillId="0" borderId="4" xfId="8" applyNumberFormat="1" applyFont="1" applyBorder="1" applyAlignment="1" applyProtection="1">
      <alignment horizontal="center" vertical="center" wrapText="1"/>
    </xf>
    <xf numFmtId="49" fontId="5" fillId="0" borderId="4" xfId="8" applyNumberFormat="1" applyFont="1" applyBorder="1" applyAlignment="1" applyProtection="1">
      <alignment vertical="center" wrapText="1"/>
    </xf>
    <xf numFmtId="49" fontId="5" fillId="0" borderId="4" xfId="8" quotePrefix="1" applyNumberFormat="1" applyFont="1" applyBorder="1" applyAlignment="1" applyProtection="1">
      <alignment horizontal="center" vertical="center"/>
    </xf>
    <xf numFmtId="49" fontId="5" fillId="0" borderId="4" xfId="8" applyNumberFormat="1" applyFont="1" applyBorder="1" applyAlignment="1" applyProtection="1">
      <alignment horizontal="left" vertical="center" wrapText="1"/>
    </xf>
    <xf numFmtId="49" fontId="5" fillId="0" borderId="4" xfId="8" applyNumberFormat="1" applyFont="1" applyBorder="1" applyAlignment="1" applyProtection="1">
      <alignment vertical="center"/>
    </xf>
    <xf numFmtId="49" fontId="0" fillId="0" borderId="4" xfId="8" applyNumberFormat="1" applyFont="1" applyBorder="1" applyAlignment="1" applyProtection="1">
      <alignment horizontal="center" vertical="center"/>
    </xf>
    <xf numFmtId="49" fontId="35" fillId="0" borderId="4" xfId="12" applyNumberFormat="1" applyFont="1" applyFill="1" applyBorder="1" applyAlignment="1" applyProtection="1">
      <alignment horizontal="left" vertical="center"/>
    </xf>
    <xf numFmtId="49" fontId="35" fillId="0" borderId="4" xfId="8" applyNumberFormat="1" applyFont="1" applyBorder="1" applyAlignment="1" applyProtection="1">
      <alignment horizontal="center" vertical="center"/>
    </xf>
    <xf numFmtId="49" fontId="33" fillId="0" borderId="4" xfId="8" applyNumberFormat="1" applyFont="1" applyBorder="1" applyAlignment="1" applyProtection="1">
      <alignment vertical="center"/>
    </xf>
    <xf numFmtId="4" fontId="33" fillId="10" borderId="4" xfId="8" applyNumberFormat="1" applyFont="1" applyFill="1" applyBorder="1" applyAlignment="1" applyProtection="1">
      <alignment horizontal="right" vertical="center"/>
      <protection locked="0"/>
    </xf>
    <xf numFmtId="4" fontId="33" fillId="4" borderId="4" xfId="15" applyNumberFormat="1" applyFont="1" applyFill="1" applyBorder="1" applyAlignment="1" applyProtection="1">
      <alignment horizontal="right" vertical="center"/>
    </xf>
    <xf numFmtId="4" fontId="33" fillId="10" borderId="4" xfId="14" applyNumberFormat="1" applyFont="1" applyFill="1" applyBorder="1" applyAlignment="1" applyProtection="1">
      <alignment horizontal="center" vertical="center" wrapText="1"/>
      <protection locked="0"/>
    </xf>
    <xf numFmtId="49" fontId="35" fillId="0" borderId="4" xfId="13" applyNumberFormat="1" applyFont="1" applyFill="1" applyBorder="1" applyAlignment="1" applyProtection="1">
      <alignment horizontal="left" vertical="center"/>
    </xf>
    <xf numFmtId="49" fontId="35" fillId="0" borderId="4" xfId="8" applyNumberFormat="1" applyFont="1" applyBorder="1" applyAlignment="1" applyProtection="1">
      <alignment vertical="center"/>
    </xf>
    <xf numFmtId="49" fontId="33" fillId="0" borderId="4" xfId="13" applyNumberFormat="1" applyFont="1" applyFill="1" applyBorder="1" applyAlignment="1" applyProtection="1">
      <alignment horizontal="left" vertical="center"/>
    </xf>
    <xf numFmtId="49" fontId="5" fillId="0" borderId="0" xfId="8" applyNumberFormat="1" applyFont="1" applyFill="1" applyBorder="1" applyAlignment="1" applyProtection="1">
      <alignment vertical="center"/>
    </xf>
    <xf numFmtId="49" fontId="5" fillId="0" borderId="0" xfId="8" applyNumberFormat="1" applyFont="1" applyFill="1" applyBorder="1" applyAlignment="1" applyProtection="1">
      <alignment vertical="center" wrapText="1"/>
    </xf>
    <xf numFmtId="49" fontId="32" fillId="0" borderId="0" xfId="8" applyNumberFormat="1" applyFont="1" applyFill="1" applyBorder="1" applyAlignment="1" applyProtection="1">
      <alignment vertical="center" wrapText="1"/>
    </xf>
    <xf numFmtId="49" fontId="32" fillId="0" borderId="0" xfId="8" applyNumberFormat="1" applyFont="1" applyFill="1" applyBorder="1" applyAlignment="1" applyProtection="1">
      <alignment vertical="center"/>
    </xf>
    <xf numFmtId="49" fontId="5" fillId="0" borderId="0" xfId="8" applyNumberFormat="1" applyFont="1" applyFill="1" applyBorder="1" applyAlignment="1" applyProtection="1">
      <alignment horizontal="center" vertical="center"/>
    </xf>
    <xf numFmtId="4" fontId="5" fillId="0" borderId="0" xfId="12" applyNumberFormat="1" applyFont="1" applyFill="1" applyBorder="1" applyAlignment="1" applyProtection="1">
      <alignment horizontal="center" vertical="center"/>
    </xf>
    <xf numFmtId="4" fontId="5" fillId="0" borderId="0" xfId="12" applyNumberFormat="1" applyFont="1" applyFill="1" applyBorder="1" applyAlignment="1" applyProtection="1">
      <alignment horizontal="right" vertical="center"/>
    </xf>
    <xf numFmtId="4" fontId="5" fillId="0" borderId="0" xfId="13" applyNumberFormat="1" applyFont="1" applyFill="1" applyBorder="1" applyAlignment="1" applyProtection="1">
      <alignment horizontal="right" vertical="center"/>
    </xf>
    <xf numFmtId="4" fontId="5" fillId="0" borderId="0" xfId="14" applyNumberFormat="1" applyFont="1" applyFill="1" applyBorder="1" applyAlignment="1" applyProtection="1">
      <alignment horizontal="center" vertical="center" wrapText="1"/>
    </xf>
    <xf numFmtId="49" fontId="5" fillId="0" borderId="0" xfId="8" quotePrefix="1" applyNumberFormat="1" applyFont="1" applyFill="1" applyBorder="1" applyAlignment="1" applyProtection="1">
      <alignment horizontal="center" vertical="center"/>
    </xf>
    <xf numFmtId="49" fontId="5" fillId="0" borderId="0" xfId="8" applyNumberFormat="1" applyFont="1" applyFill="1" applyBorder="1" applyAlignment="1" applyProtection="1">
      <alignment horizontal="center" vertical="center" wrapText="1"/>
    </xf>
    <xf numFmtId="49" fontId="32" fillId="0" borderId="0" xfId="13" applyNumberFormat="1" applyFont="1" applyFill="1" applyBorder="1" applyAlignment="1" applyProtection="1">
      <alignment horizontal="left" vertical="center"/>
    </xf>
    <xf numFmtId="49" fontId="5" fillId="0" borderId="0" xfId="13" applyNumberFormat="1" applyFont="1" applyFill="1" applyBorder="1" applyAlignment="1" applyProtection="1">
      <alignment horizontal="left" vertical="center"/>
    </xf>
    <xf numFmtId="4" fontId="5" fillId="0" borderId="0" xfId="13" applyFont="1" applyFill="1" applyBorder="1" applyAlignment="1" applyProtection="1">
      <alignment horizontal="right" vertical="center"/>
    </xf>
    <xf numFmtId="49" fontId="32" fillId="0" borderId="0" xfId="12" applyNumberFormat="1" applyFont="1" applyFill="1" applyBorder="1" applyAlignment="1" applyProtection="1">
      <alignment horizontal="left" vertical="center"/>
    </xf>
    <xf numFmtId="49" fontId="32" fillId="0" borderId="0" xfId="8" applyNumberFormat="1" applyFont="1" applyFill="1" applyBorder="1" applyAlignment="1" applyProtection="1">
      <alignment horizontal="center" vertical="center"/>
    </xf>
    <xf numFmtId="4" fontId="5" fillId="0" borderId="0" xfId="8" applyNumberFormat="1" applyFont="1" applyFill="1" applyBorder="1" applyAlignment="1" applyProtection="1">
      <alignment horizontal="right" vertical="center"/>
    </xf>
    <xf numFmtId="4" fontId="5" fillId="0" borderId="0" xfId="16" applyNumberFormat="1" applyFont="1" applyFill="1" applyBorder="1" applyAlignment="1" applyProtection="1">
      <alignment horizontal="right" vertical="center"/>
    </xf>
    <xf numFmtId="0" fontId="5" fillId="0" borderId="0" xfId="8" applyNumberFormat="1" applyFont="1" applyBorder="1" applyAlignment="1" applyProtection="1">
      <alignment vertical="center"/>
    </xf>
    <xf numFmtId="49" fontId="5" fillId="0" borderId="0" xfId="8" applyNumberFormat="1" applyFont="1" applyAlignment="1" applyProtection="1">
      <alignment vertical="center" wrapText="1"/>
    </xf>
    <xf numFmtId="0" fontId="5" fillId="12" borderId="0" xfId="8" applyNumberFormat="1" applyFont="1" applyFill="1" applyAlignment="1" applyProtection="1">
      <alignment vertical="center"/>
    </xf>
    <xf numFmtId="0" fontId="0" fillId="0" borderId="0" xfId="0" applyFont="1" applyAlignment="1" applyProtection="1">
      <alignment vertical="top"/>
    </xf>
    <xf numFmtId="0" fontId="18" fillId="0" borderId="0" xfId="5" applyAlignment="1" applyProtection="1">
      <alignment vertical="top"/>
    </xf>
    <xf numFmtId="49" fontId="0" fillId="0" borderId="0" xfId="0" applyNumberFormat="1" applyFont="1" applyAlignment="1" applyProtection="1">
      <alignment vertical="top"/>
    </xf>
    <xf numFmtId="0" fontId="0" fillId="0" borderId="0" xfId="0" applyProtection="1"/>
    <xf numFmtId="49" fontId="25" fillId="0" borderId="0" xfId="0" applyNumberFormat="1" applyFont="1" applyAlignment="1" applyProtection="1">
      <alignment vertical="top"/>
    </xf>
    <xf numFmtId="49" fontId="39" fillId="0" borderId="1" xfId="0" applyNumberFormat="1" applyFont="1" applyBorder="1" applyAlignment="1" applyProtection="1">
      <alignment vertical="top"/>
    </xf>
    <xf numFmtId="0" fontId="39" fillId="0" borderId="1" xfId="11" applyFont="1" applyBorder="1" applyProtection="1">
      <alignment horizontal="center" vertical="center" wrapText="1"/>
    </xf>
    <xf numFmtId="4" fontId="40" fillId="14" borderId="1" xfId="18" applyFont="1" applyFill="1" applyBorder="1" applyProtection="1">
      <alignment horizontal="right"/>
    </xf>
    <xf numFmtId="4" fontId="39" fillId="14" borderId="1" xfId="18" applyFont="1" applyFill="1" applyBorder="1" applyProtection="1">
      <alignment horizontal="right"/>
    </xf>
    <xf numFmtId="49" fontId="25" fillId="0" borderId="0" xfId="0" applyNumberFormat="1" applyFont="1" applyBorder="1" applyAlignment="1" applyProtection="1">
      <alignment vertical="top"/>
    </xf>
    <xf numFmtId="49" fontId="40" fillId="15" borderId="0" xfId="0" applyNumberFormat="1" applyFont="1" applyFill="1" applyBorder="1" applyAlignment="1" applyProtection="1">
      <alignment vertical="top"/>
    </xf>
    <xf numFmtId="4" fontId="40" fillId="15" borderId="0" xfId="18" applyFont="1" applyFill="1" applyBorder="1" applyProtection="1">
      <alignment horizontal="right"/>
    </xf>
    <xf numFmtId="49" fontId="25" fillId="15" borderId="0" xfId="0" applyNumberFormat="1" applyFont="1" applyFill="1" applyAlignment="1" applyProtection="1">
      <alignment vertical="top"/>
    </xf>
    <xf numFmtId="0" fontId="0" fillId="15" borderId="0" xfId="0" applyFont="1" applyFill="1" applyAlignment="1" applyProtection="1">
      <alignment vertical="top"/>
    </xf>
    <xf numFmtId="10" fontId="40" fillId="15" borderId="0" xfId="1" applyNumberFormat="1" applyFont="1" applyFill="1" applyBorder="1" applyAlignment="1" applyProtection="1">
      <alignment horizontal="center"/>
    </xf>
    <xf numFmtId="49" fontId="39" fillId="0" borderId="0" xfId="0" applyNumberFormat="1" applyFont="1" applyAlignment="1" applyProtection="1"/>
    <xf numFmtId="49" fontId="0" fillId="0" borderId="0" xfId="0" applyNumberFormat="1" applyFont="1" applyFill="1" applyBorder="1" applyAlignment="1" applyProtection="1">
      <alignment vertical="top"/>
    </xf>
    <xf numFmtId="4" fontId="5" fillId="0" borderId="0" xfId="18" applyFont="1" applyFill="1" applyBorder="1" applyProtection="1">
      <alignment horizontal="right"/>
    </xf>
    <xf numFmtId="0" fontId="39" fillId="7" borderId="1" xfId="19" applyFont="1" applyFill="1" applyBorder="1" applyAlignment="1" applyProtection="1">
      <alignment horizontal="center" vertical="center" wrapText="1"/>
    </xf>
    <xf numFmtId="0" fontId="39" fillId="7" borderId="39" xfId="19" applyFont="1" applyFill="1" applyBorder="1" applyAlignment="1" applyProtection="1">
      <alignment horizontal="center" vertical="center" wrapText="1"/>
    </xf>
    <xf numFmtId="0" fontId="39" fillId="7" borderId="43" xfId="19" applyFont="1" applyFill="1" applyBorder="1" applyAlignment="1" applyProtection="1">
      <alignment horizontal="center" vertical="center" wrapText="1"/>
    </xf>
    <xf numFmtId="0" fontId="23" fillId="15" borderId="1" xfId="19" applyFont="1" applyFill="1" applyBorder="1" applyAlignment="1" applyProtection="1">
      <alignment horizontal="left" vertical="center"/>
    </xf>
    <xf numFmtId="0" fontId="44" fillId="15" borderId="1" xfId="19" applyFont="1" applyFill="1" applyBorder="1" applyAlignment="1" applyProtection="1">
      <alignment horizontal="center" vertical="center"/>
    </xf>
    <xf numFmtId="4" fontId="23" fillId="14" borderId="1" xfId="19" applyNumberFormat="1" applyFont="1" applyFill="1" applyBorder="1" applyAlignment="1" applyProtection="1">
      <alignment horizontal="right"/>
    </xf>
    <xf numFmtId="0" fontId="0" fillId="0" borderId="0" xfId="0" applyAlignment="1" applyProtection="1">
      <alignment vertical="top"/>
    </xf>
    <xf numFmtId="0" fontId="45" fillId="0" borderId="0" xfId="19" applyFont="1" applyBorder="1" applyAlignment="1" applyProtection="1">
      <alignment vertical="center"/>
    </xf>
    <xf numFmtId="0" fontId="25" fillId="0" borderId="0" xfId="19" applyFont="1" applyProtection="1"/>
    <xf numFmtId="0" fontId="0" fillId="0" borderId="0" xfId="0" applyFill="1" applyAlignment="1" applyProtection="1">
      <alignment vertical="top"/>
    </xf>
    <xf numFmtId="0" fontId="47" fillId="0" borderId="0" xfId="0" applyFont="1" applyAlignment="1" applyProtection="1">
      <alignment vertical="top"/>
    </xf>
    <xf numFmtId="49" fontId="39" fillId="15" borderId="1" xfId="19" applyNumberFormat="1" applyFont="1" applyFill="1" applyBorder="1" applyAlignment="1" applyProtection="1">
      <alignment horizontal="right" vertical="center"/>
    </xf>
    <xf numFmtId="49" fontId="39" fillId="15" borderId="1" xfId="0" applyNumberFormat="1" applyFont="1" applyFill="1" applyBorder="1" applyAlignment="1" applyProtection="1">
      <alignment horizontal="left" vertical="center" wrapText="1"/>
    </xf>
    <xf numFmtId="0" fontId="46" fillId="15" borderId="1" xfId="19" applyFont="1" applyFill="1" applyBorder="1" applyAlignment="1" applyProtection="1">
      <alignment horizontal="center" vertical="center" wrapText="1"/>
    </xf>
    <xf numFmtId="165" fontId="46" fillId="14" borderId="1" xfId="20" applyNumberFormat="1" applyFont="1" applyFill="1" applyBorder="1" applyAlignment="1" applyProtection="1">
      <alignment horizontal="center" vertical="center"/>
    </xf>
    <xf numFmtId="4" fontId="46" fillId="3" borderId="1" xfId="21" applyNumberFormat="1" applyFont="1" applyFill="1" applyBorder="1" applyAlignment="1" applyProtection="1">
      <alignment vertical="center"/>
      <protection locked="0"/>
    </xf>
    <xf numFmtId="4" fontId="39" fillId="3" borderId="1" xfId="21" applyNumberFormat="1" applyFont="1" applyFill="1" applyBorder="1" applyAlignment="1" applyProtection="1">
      <alignment vertical="center"/>
      <protection locked="0"/>
    </xf>
    <xf numFmtId="0" fontId="30" fillId="0" borderId="0" xfId="19" applyFont="1" applyFill="1" applyBorder="1" applyProtection="1"/>
    <xf numFmtId="166" fontId="30" fillId="0" borderId="0" xfId="19" applyNumberFormat="1" applyFont="1" applyFill="1" applyBorder="1" applyProtection="1"/>
    <xf numFmtId="2" fontId="30" fillId="0" borderId="0" xfId="19" applyNumberFormat="1" applyFont="1" applyFill="1" applyBorder="1" applyProtection="1"/>
    <xf numFmtId="10" fontId="48" fillId="0" borderId="0" xfId="21" applyNumberFormat="1" applyFont="1" applyFill="1" applyBorder="1" applyAlignment="1" applyProtection="1">
      <alignment horizontal="center" vertical="center"/>
    </xf>
    <xf numFmtId="49" fontId="0" fillId="0" borderId="0" xfId="0" applyNumberFormat="1" applyBorder="1" applyAlignment="1" applyProtection="1">
      <alignment vertical="top"/>
    </xf>
    <xf numFmtId="0" fontId="30" fillId="0" borderId="0" xfId="19" applyFont="1" applyProtection="1"/>
    <xf numFmtId="0" fontId="0" fillId="0" borderId="0" xfId="0" applyBorder="1" applyAlignment="1" applyProtection="1">
      <alignment vertical="top"/>
    </xf>
    <xf numFmtId="0" fontId="40" fillId="7" borderId="1" xfId="19" applyFont="1" applyFill="1" applyBorder="1" applyAlignment="1" applyProtection="1">
      <alignment horizontal="center" vertical="center" wrapText="1"/>
    </xf>
    <xf numFmtId="0" fontId="40" fillId="15" borderId="1" xfId="19" applyFont="1" applyFill="1" applyBorder="1" applyAlignment="1" applyProtection="1">
      <alignment wrapText="1"/>
    </xf>
    <xf numFmtId="165" fontId="39" fillId="14" borderId="1" xfId="19" applyNumberFormat="1" applyFont="1" applyFill="1" applyBorder="1" applyAlignment="1" applyProtection="1">
      <alignment horizontal="center" vertical="center" wrapText="1"/>
    </xf>
    <xf numFmtId="4" fontId="39" fillId="5" borderId="1" xfId="19" applyNumberFormat="1" applyFont="1" applyFill="1" applyBorder="1" applyAlignment="1" applyProtection="1">
      <alignment horizontal="center" vertical="center" wrapText="1"/>
    </xf>
    <xf numFmtId="4" fontId="39" fillId="14" borderId="1" xfId="19" applyNumberFormat="1" applyFont="1" applyFill="1" applyBorder="1" applyAlignment="1" applyProtection="1">
      <alignment horizontal="center" vertical="center" wrapText="1"/>
    </xf>
    <xf numFmtId="4" fontId="49" fillId="5" borderId="1" xfId="21" applyNumberFormat="1" applyFont="1" applyFill="1" applyBorder="1" applyAlignment="1" applyProtection="1">
      <alignment horizontal="center" vertical="center"/>
    </xf>
    <xf numFmtId="4" fontId="39" fillId="5" borderId="1" xfId="19" applyNumberFormat="1" applyFont="1" applyFill="1" applyBorder="1" applyAlignment="1" applyProtection="1">
      <alignment horizontal="center" vertical="center"/>
    </xf>
    <xf numFmtId="0" fontId="0" fillId="15" borderId="0" xfId="0" applyFill="1" applyProtection="1"/>
    <xf numFmtId="0" fontId="0" fillId="16" borderId="0" xfId="0" applyFill="1" applyProtection="1"/>
    <xf numFmtId="0" fontId="18" fillId="0" borderId="0" xfId="5" applyAlignment="1" applyProtection="1">
      <alignment vertical="top"/>
      <protection locked="0"/>
    </xf>
    <xf numFmtId="0" fontId="51" fillId="0" borderId="0" xfId="22" applyFont="1" applyBorder="1" applyAlignment="1">
      <alignment vertical="center" wrapText="1"/>
    </xf>
    <xf numFmtId="0" fontId="24" fillId="0" borderId="1" xfId="0" applyFont="1" applyBorder="1" applyAlignment="1">
      <alignment wrapText="1"/>
    </xf>
    <xf numFmtId="0" fontId="24" fillId="0" borderId="1" xfId="22" applyFont="1" applyBorder="1" applyAlignment="1">
      <alignment vertical="center" wrapText="1"/>
    </xf>
    <xf numFmtId="0" fontId="24" fillId="0" borderId="1" xfId="22" applyFont="1" applyBorder="1" applyAlignment="1">
      <alignment vertical="center"/>
    </xf>
    <xf numFmtId="0" fontId="24" fillId="0" borderId="1" xfId="22" applyFont="1" applyBorder="1" applyAlignment="1">
      <alignment horizontal="center" vertical="center" wrapText="1"/>
    </xf>
    <xf numFmtId="0" fontId="52" fillId="15" borderId="1" xfId="22" applyFont="1" applyFill="1" applyBorder="1" applyAlignment="1">
      <alignment vertical="center" wrapText="1"/>
    </xf>
    <xf numFmtId="4" fontId="25" fillId="14" borderId="1" xfId="0" applyNumberFormat="1" applyFont="1" applyFill="1" applyBorder="1" applyAlignment="1" applyProtection="1">
      <alignment horizontal="right" vertical="center"/>
    </xf>
    <xf numFmtId="0" fontId="52" fillId="0" borderId="1" xfId="22" applyFont="1" applyBorder="1"/>
    <xf numFmtId="164" fontId="25" fillId="3" borderId="1" xfId="21" applyNumberFormat="1" applyFont="1" applyFill="1" applyBorder="1" applyAlignment="1" applyProtection="1">
      <alignment horizontal="right" vertical="center" wrapText="1"/>
      <protection locked="0"/>
    </xf>
    <xf numFmtId="164" fontId="25" fillId="15" borderId="1" xfId="21" applyNumberFormat="1" applyFont="1" applyFill="1" applyBorder="1" applyAlignment="1" applyProtection="1">
      <alignment horizontal="right" vertical="center" wrapText="1"/>
      <protection locked="0"/>
    </xf>
    <xf numFmtId="0" fontId="52" fillId="15" borderId="1" xfId="22" applyFont="1" applyFill="1" applyBorder="1" applyAlignment="1">
      <alignment wrapText="1"/>
    </xf>
    <xf numFmtId="0" fontId="52" fillId="15" borderId="1" xfId="22" applyFont="1" applyFill="1" applyBorder="1" applyAlignment="1"/>
    <xf numFmtId="0" fontId="50" fillId="0" borderId="1" xfId="22" applyBorder="1"/>
    <xf numFmtId="0" fontId="50" fillId="15" borderId="1" xfId="22" applyFont="1" applyFill="1" applyBorder="1" applyAlignment="1">
      <alignment horizontal="left" wrapText="1"/>
    </xf>
    <xf numFmtId="0" fontId="50" fillId="15" borderId="1" xfId="22" applyFont="1" applyFill="1" applyBorder="1" applyAlignment="1"/>
    <xf numFmtId="43" fontId="25" fillId="3" borderId="1" xfId="23" applyFont="1" applyFill="1" applyBorder="1" applyAlignment="1" applyProtection="1">
      <alignment horizontal="right" vertical="center" wrapText="1"/>
      <protection locked="0"/>
    </xf>
    <xf numFmtId="43" fontId="25" fillId="15" borderId="1" xfId="23" applyFont="1" applyFill="1" applyBorder="1" applyAlignment="1" applyProtection="1">
      <alignment horizontal="right" vertical="center" wrapText="1"/>
      <protection locked="0"/>
    </xf>
    <xf numFmtId="164" fontId="25" fillId="14" borderId="1" xfId="21" applyNumberFormat="1" applyFont="1" applyFill="1" applyBorder="1" applyAlignment="1" applyProtection="1">
      <alignment horizontal="right" vertical="center"/>
    </xf>
    <xf numFmtId="0" fontId="50" fillId="15" borderId="1" xfId="22" applyFill="1" applyBorder="1" applyAlignment="1">
      <alignment horizontal="left" wrapText="1"/>
    </xf>
    <xf numFmtId="43" fontId="50" fillId="15" borderId="1" xfId="23" applyFont="1" applyFill="1" applyBorder="1" applyAlignment="1">
      <alignment horizontal="right"/>
    </xf>
    <xf numFmtId="0" fontId="50" fillId="15" borderId="1" xfId="22" applyFont="1" applyFill="1" applyBorder="1" applyAlignment="1">
      <alignment wrapText="1"/>
    </xf>
    <xf numFmtId="16" fontId="52" fillId="0" borderId="1" xfId="22" applyNumberFormat="1" applyFont="1" applyBorder="1"/>
    <xf numFmtId="0" fontId="52" fillId="15" borderId="1" xfId="22" applyFont="1" applyFill="1" applyBorder="1" applyAlignment="1">
      <alignment horizontal="left" wrapText="1"/>
    </xf>
    <xf numFmtId="0" fontId="53" fillId="15" borderId="1" xfId="24" applyFont="1" applyFill="1" applyBorder="1" applyAlignment="1">
      <alignment vertical="center" wrapText="1"/>
    </xf>
    <xf numFmtId="0" fontId="0" fillId="0" borderId="1" xfId="0" applyBorder="1"/>
    <xf numFmtId="49" fontId="5" fillId="8" borderId="0" xfId="0" applyNumberFormat="1" applyFont="1" applyFill="1" applyAlignment="1" applyProtection="1">
      <alignment vertical="top"/>
    </xf>
    <xf numFmtId="0" fontId="5" fillId="8" borderId="0" xfId="0" applyNumberFormat="1" applyFont="1" applyFill="1" applyAlignment="1" applyProtection="1">
      <alignment vertical="top"/>
    </xf>
    <xf numFmtId="0" fontId="5" fillId="8" borderId="0" xfId="0" applyNumberFormat="1" applyFont="1" applyFill="1" applyAlignment="1" applyProtection="1">
      <alignment vertical="center"/>
    </xf>
    <xf numFmtId="0" fontId="0" fillId="0" borderId="0" xfId="0" applyAlignment="1" applyProtection="1">
      <alignment vertical="center"/>
    </xf>
    <xf numFmtId="0" fontId="33" fillId="8" borderId="0" xfId="0" applyFont="1" applyFill="1" applyAlignment="1" applyProtection="1">
      <alignment vertical="top"/>
    </xf>
    <xf numFmtId="0" fontId="33" fillId="0" borderId="0" xfId="0" applyFont="1" applyFill="1" applyAlignment="1" applyProtection="1">
      <alignment vertical="top"/>
    </xf>
    <xf numFmtId="0" fontId="5" fillId="8" borderId="50" xfId="0" applyFont="1" applyFill="1" applyBorder="1" applyAlignment="1" applyProtection="1">
      <alignment vertical="top"/>
    </xf>
    <xf numFmtId="0" fontId="5" fillId="8" borderId="17" xfId="0" applyNumberFormat="1" applyFont="1" applyFill="1" applyBorder="1" applyAlignment="1" applyProtection="1">
      <alignment vertical="top"/>
    </xf>
    <xf numFmtId="49" fontId="17" fillId="0" borderId="52" xfId="0" applyNumberFormat="1" applyFont="1" applyBorder="1" applyAlignment="1" applyProtection="1">
      <alignment horizontal="center" vertical="center" wrapText="1"/>
    </xf>
    <xf numFmtId="0" fontId="17" fillId="0" borderId="52" xfId="0" applyFont="1" applyBorder="1" applyAlignment="1" applyProtection="1">
      <alignment horizontal="center" vertical="center" wrapText="1"/>
    </xf>
    <xf numFmtId="0" fontId="5" fillId="0" borderId="51" xfId="0" applyNumberFormat="1" applyFont="1" applyFill="1" applyBorder="1" applyAlignment="1" applyProtection="1">
      <alignment horizontal="center" vertical="center" wrapText="1"/>
    </xf>
    <xf numFmtId="0" fontId="5" fillId="0" borderId="52" xfId="0" applyNumberFormat="1" applyFont="1" applyBorder="1" applyAlignment="1" applyProtection="1">
      <alignment horizontal="center" vertical="center" wrapText="1"/>
    </xf>
    <xf numFmtId="0" fontId="5" fillId="4" borderId="53" xfId="0" applyNumberFormat="1" applyFont="1" applyFill="1" applyBorder="1" applyAlignment="1" applyProtection="1">
      <alignment horizontal="center" vertical="center" wrapText="1"/>
    </xf>
    <xf numFmtId="0" fontId="5" fillId="11" borderId="52" xfId="0" applyFont="1" applyFill="1" applyBorder="1" applyAlignment="1" applyProtection="1"/>
    <xf numFmtId="0" fontId="5" fillId="11" borderId="51" xfId="0" applyNumberFormat="1" applyFont="1" applyFill="1" applyBorder="1" applyAlignment="1" applyProtection="1">
      <alignment vertical="center"/>
    </xf>
    <xf numFmtId="0" fontId="5" fillId="11" borderId="52" xfId="0" applyNumberFormat="1" applyFont="1" applyFill="1" applyBorder="1" applyAlignment="1" applyProtection="1">
      <alignment horizontal="center" vertical="center"/>
    </xf>
    <xf numFmtId="0" fontId="5" fillId="11" borderId="53" xfId="0" applyNumberFormat="1" applyFont="1" applyFill="1" applyBorder="1" applyAlignment="1" applyProtection="1">
      <alignment horizontal="center" vertical="center"/>
    </xf>
    <xf numFmtId="0" fontId="5" fillId="8" borderId="0" xfId="0" applyNumberFormat="1" applyFont="1" applyFill="1" applyBorder="1" applyAlignment="1" applyProtection="1">
      <alignment vertical="top"/>
    </xf>
    <xf numFmtId="49" fontId="5" fillId="0" borderId="52" xfId="0" applyNumberFormat="1" applyFont="1" applyFill="1" applyBorder="1" applyAlignment="1" applyProtection="1">
      <alignment horizontal="center" vertical="center"/>
    </xf>
    <xf numFmtId="49" fontId="57" fillId="0" borderId="52" xfId="0" applyNumberFormat="1" applyFont="1" applyBorder="1" applyAlignment="1" applyProtection="1">
      <alignment horizontal="left" vertical="center" wrapText="1"/>
    </xf>
    <xf numFmtId="0" fontId="57" fillId="0" borderId="52" xfId="0" applyFont="1" applyFill="1" applyBorder="1" applyAlignment="1" applyProtection="1">
      <alignment horizontal="center" vertical="center"/>
    </xf>
    <xf numFmtId="10" fontId="57" fillId="10" borderId="51" xfId="0" applyNumberFormat="1" applyFont="1" applyFill="1" applyBorder="1" applyAlignment="1" applyProtection="1">
      <alignment horizontal="right" vertical="center"/>
      <protection locked="0"/>
    </xf>
    <xf numFmtId="10" fontId="57" fillId="10" borderId="52" xfId="0" applyNumberFormat="1" applyFont="1" applyFill="1" applyBorder="1" applyAlignment="1" applyProtection="1">
      <alignment horizontal="right" vertical="center"/>
      <protection locked="0"/>
    </xf>
    <xf numFmtId="10" fontId="57" fillId="10" borderId="53" xfId="0" applyNumberFormat="1" applyFont="1" applyFill="1" applyBorder="1" applyAlignment="1" applyProtection="1">
      <alignment horizontal="right" vertical="center"/>
      <protection locked="0"/>
    </xf>
    <xf numFmtId="49" fontId="57" fillId="0" borderId="52" xfId="0" applyNumberFormat="1" applyFont="1" applyFill="1" applyBorder="1" applyAlignment="1" applyProtection="1">
      <alignment horizontal="left" vertical="center" wrapText="1"/>
    </xf>
    <xf numFmtId="4" fontId="57" fillId="4" borderId="51" xfId="0" applyNumberFormat="1" applyFont="1" applyFill="1" applyBorder="1" applyAlignment="1" applyProtection="1">
      <alignment horizontal="right" vertical="center"/>
    </xf>
    <xf numFmtId="4" fontId="57" fillId="4" borderId="52" xfId="0" applyNumberFormat="1" applyFont="1" applyFill="1" applyBorder="1" applyAlignment="1" applyProtection="1">
      <alignment horizontal="right" vertical="center"/>
    </xf>
    <xf numFmtId="4" fontId="57" fillId="4" borderId="53" xfId="0" applyNumberFormat="1" applyFont="1" applyFill="1" applyBorder="1" applyAlignment="1" applyProtection="1">
      <alignment horizontal="right" vertical="center"/>
    </xf>
    <xf numFmtId="49" fontId="17" fillId="0" borderId="52" xfId="0" applyNumberFormat="1" applyFont="1" applyFill="1" applyBorder="1" applyAlignment="1" applyProtection="1">
      <alignment horizontal="left" vertical="center" wrapText="1" indent="1"/>
    </xf>
    <xf numFmtId="0" fontId="17" fillId="0" borderId="52" xfId="0" applyFont="1" applyFill="1" applyBorder="1" applyAlignment="1" applyProtection="1">
      <alignment horizontal="center" vertical="center"/>
    </xf>
    <xf numFmtId="4" fontId="17" fillId="6" borderId="51" xfId="0" applyNumberFormat="1" applyFont="1" applyFill="1" applyBorder="1" applyAlignment="1" applyProtection="1">
      <alignment horizontal="right" vertical="center"/>
      <protection locked="0"/>
    </xf>
    <xf numFmtId="4" fontId="17" fillId="6" borderId="52" xfId="0" applyNumberFormat="1" applyFont="1" applyFill="1" applyBorder="1" applyAlignment="1" applyProtection="1">
      <alignment horizontal="right" vertical="center"/>
      <protection locked="0"/>
    </xf>
    <xf numFmtId="4" fontId="17" fillId="6" borderId="53" xfId="0" applyNumberFormat="1" applyFont="1" applyFill="1" applyBorder="1" applyAlignment="1" applyProtection="1">
      <alignment horizontal="right" vertical="center"/>
      <protection locked="0"/>
    </xf>
    <xf numFmtId="49" fontId="0" fillId="0" borderId="52" xfId="0" applyNumberFormat="1" applyFont="1" applyFill="1" applyBorder="1" applyAlignment="1" applyProtection="1">
      <alignment horizontal="center" vertical="center"/>
    </xf>
    <xf numFmtId="0" fontId="57" fillId="0" borderId="52" xfId="0" applyFont="1" applyFill="1" applyBorder="1" applyAlignment="1" applyProtection="1">
      <alignment horizontal="left" vertical="center" wrapText="1"/>
    </xf>
    <xf numFmtId="0" fontId="57" fillId="0" borderId="52" xfId="0" applyFont="1" applyBorder="1" applyAlignment="1" applyProtection="1">
      <alignment horizontal="center" vertical="center" wrapText="1"/>
    </xf>
    <xf numFmtId="4" fontId="57" fillId="10" borderId="51" xfId="0" applyNumberFormat="1" applyFont="1" applyFill="1" applyBorder="1" applyAlignment="1" applyProtection="1">
      <alignment horizontal="right" vertical="center"/>
      <protection locked="0"/>
    </xf>
    <xf numFmtId="4" fontId="57" fillId="4" borderId="7" xfId="0" applyNumberFormat="1" applyFont="1" applyFill="1" applyBorder="1" applyAlignment="1" applyProtection="1">
      <alignment horizontal="right" vertical="center"/>
    </xf>
    <xf numFmtId="10" fontId="57" fillId="4" borderId="52" xfId="0" applyNumberFormat="1" applyFont="1" applyFill="1" applyBorder="1" applyAlignment="1" applyProtection="1">
      <alignment horizontal="right" vertical="center"/>
    </xf>
    <xf numFmtId="10" fontId="57" fillId="4" borderId="53" xfId="0" applyNumberFormat="1" applyFont="1" applyFill="1" applyBorder="1" applyAlignment="1" applyProtection="1">
      <alignment horizontal="right" vertical="center"/>
    </xf>
    <xf numFmtId="0" fontId="57" fillId="0" borderId="52" xfId="0" applyFont="1" applyBorder="1" applyAlignment="1" applyProtection="1">
      <alignment horizontal="left" vertical="center"/>
    </xf>
    <xf numFmtId="167" fontId="17" fillId="0" borderId="51" xfId="0" applyNumberFormat="1" applyFont="1" applyBorder="1" applyAlignment="1" applyProtection="1">
      <alignment horizontal="right" vertical="center"/>
    </xf>
    <xf numFmtId="167" fontId="57" fillId="4" borderId="52" xfId="0" applyNumberFormat="1" applyFont="1" applyFill="1" applyBorder="1" applyAlignment="1" applyProtection="1">
      <alignment horizontal="right" vertical="center"/>
    </xf>
    <xf numFmtId="167" fontId="57" fillId="4" borderId="18" xfId="0" applyNumberFormat="1" applyFont="1" applyFill="1" applyBorder="1" applyAlignment="1" applyProtection="1">
      <alignment horizontal="right" vertical="center"/>
    </xf>
    <xf numFmtId="167" fontId="57" fillId="4" borderId="53" xfId="0" applyNumberFormat="1" applyFont="1" applyFill="1" applyBorder="1" applyAlignment="1" applyProtection="1">
      <alignment horizontal="right" vertical="center"/>
    </xf>
    <xf numFmtId="4" fontId="17" fillId="0" borderId="52" xfId="0" applyNumberFormat="1" applyFont="1" applyFill="1" applyBorder="1" applyAlignment="1" applyProtection="1">
      <alignment horizontal="right" vertical="center"/>
    </xf>
    <xf numFmtId="4" fontId="57" fillId="0" borderId="53" xfId="0" applyNumberFormat="1" applyFont="1" applyFill="1" applyBorder="1" applyAlignment="1" applyProtection="1">
      <alignment horizontal="right" vertical="center"/>
    </xf>
    <xf numFmtId="0" fontId="57" fillId="11" borderId="52" xfId="0" applyFont="1" applyFill="1" applyBorder="1" applyAlignment="1" applyProtection="1">
      <alignment vertical="top"/>
    </xf>
    <xf numFmtId="0" fontId="57" fillId="11" borderId="51" xfId="0" applyNumberFormat="1" applyFont="1" applyFill="1" applyBorder="1" applyAlignment="1" applyProtection="1">
      <alignment vertical="center"/>
    </xf>
    <xf numFmtId="0" fontId="57" fillId="11" borderId="52" xfId="0" applyNumberFormat="1" applyFont="1" applyFill="1" applyBorder="1" applyAlignment="1" applyProtection="1">
      <alignment vertical="center"/>
    </xf>
    <xf numFmtId="0" fontId="33" fillId="11" borderId="52" xfId="0" applyNumberFormat="1" applyFont="1" applyFill="1" applyBorder="1" applyAlignment="1" applyProtection="1">
      <alignment vertical="center"/>
    </xf>
    <xf numFmtId="0" fontId="33" fillId="11" borderId="53" xfId="0" applyNumberFormat="1" applyFont="1" applyFill="1" applyBorder="1" applyAlignment="1" applyProtection="1">
      <alignment vertical="center"/>
    </xf>
    <xf numFmtId="0" fontId="17" fillId="0" borderId="52" xfId="0" applyFont="1" applyFill="1" applyBorder="1" applyAlignment="1" applyProtection="1">
      <alignment vertical="center" wrapText="1"/>
    </xf>
    <xf numFmtId="0" fontId="17" fillId="0" borderId="52" xfId="0" applyFont="1" applyFill="1" applyBorder="1" applyAlignment="1" applyProtection="1">
      <alignment horizontal="center" vertical="center" wrapText="1"/>
    </xf>
    <xf numFmtId="168" fontId="17" fillId="4" borderId="51" xfId="0" applyNumberFormat="1" applyFont="1" applyFill="1" applyBorder="1" applyAlignment="1" applyProtection="1">
      <alignment horizontal="right" vertical="center"/>
    </xf>
    <xf numFmtId="168" fontId="17" fillId="4" borderId="52" xfId="0" applyNumberFormat="1" applyFont="1" applyFill="1" applyBorder="1" applyAlignment="1" applyProtection="1">
      <alignment horizontal="right" vertical="center"/>
    </xf>
    <xf numFmtId="168" fontId="17" fillId="8" borderId="52" xfId="0" applyNumberFormat="1" applyFont="1" applyFill="1" applyBorder="1" applyAlignment="1" applyProtection="1">
      <alignment horizontal="right" vertical="center"/>
    </xf>
    <xf numFmtId="168" fontId="17" fillId="8" borderId="53" xfId="0" applyNumberFormat="1" applyFont="1" applyFill="1" applyBorder="1" applyAlignment="1" applyProtection="1">
      <alignment horizontal="right" vertical="center"/>
    </xf>
    <xf numFmtId="0" fontId="17" fillId="0" borderId="52" xfId="0" applyFont="1" applyFill="1" applyBorder="1" applyAlignment="1" applyProtection="1">
      <alignment horizontal="left" vertical="center" wrapText="1" indent="1"/>
    </xf>
    <xf numFmtId="168" fontId="5" fillId="10" borderId="51" xfId="0" applyNumberFormat="1" applyFont="1" applyFill="1" applyBorder="1" applyAlignment="1" applyProtection="1">
      <alignment horizontal="right" vertical="center"/>
      <protection locked="0"/>
    </xf>
    <xf numFmtId="168" fontId="5" fillId="10" borderId="52" xfId="0" applyNumberFormat="1" applyFont="1" applyFill="1" applyBorder="1" applyAlignment="1" applyProtection="1">
      <alignment horizontal="right" vertical="center"/>
      <protection locked="0"/>
    </xf>
    <xf numFmtId="168" fontId="5" fillId="8" borderId="52" xfId="0" applyNumberFormat="1" applyFont="1" applyFill="1" applyBorder="1" applyAlignment="1" applyProtection="1">
      <alignment horizontal="right" vertical="center"/>
    </xf>
    <xf numFmtId="168" fontId="5" fillId="8" borderId="53" xfId="0" applyNumberFormat="1" applyFont="1" applyFill="1" applyBorder="1" applyAlignment="1" applyProtection="1">
      <alignment horizontal="right" vertical="center"/>
    </xf>
    <xf numFmtId="0" fontId="17" fillId="0" borderId="52" xfId="0" applyFont="1" applyFill="1" applyBorder="1" applyAlignment="1" applyProtection="1">
      <alignment horizontal="left" vertical="center" indent="1"/>
    </xf>
    <xf numFmtId="0" fontId="5" fillId="0" borderId="52" xfId="0" applyFont="1" applyFill="1" applyBorder="1" applyAlignment="1" applyProtection="1">
      <alignment horizontal="left" vertical="center" wrapText="1" indent="1"/>
    </xf>
    <xf numFmtId="0" fontId="5" fillId="0" borderId="52" xfId="0" applyFont="1" applyFill="1" applyBorder="1" applyAlignment="1" applyProtection="1">
      <alignment horizontal="center" vertical="center" wrapText="1"/>
    </xf>
    <xf numFmtId="168" fontId="5" fillId="4" borderId="51" xfId="0" applyNumberFormat="1" applyFont="1" applyFill="1" applyBorder="1" applyAlignment="1" applyProtection="1">
      <alignment horizontal="right" vertical="center"/>
    </xf>
    <xf numFmtId="168" fontId="5" fillId="4" borderId="52" xfId="0" applyNumberFormat="1" applyFont="1" applyFill="1" applyBorder="1" applyAlignment="1" applyProtection="1">
      <alignment horizontal="right" vertical="center"/>
    </xf>
    <xf numFmtId="0" fontId="17" fillId="0" borderId="52" xfId="0" applyFont="1" applyFill="1" applyBorder="1" applyAlignment="1" applyProtection="1">
      <alignment horizontal="left" vertical="center" wrapText="1" indent="2"/>
    </xf>
    <xf numFmtId="3" fontId="17" fillId="0" borderId="52" xfId="0" applyNumberFormat="1" applyFont="1" applyFill="1" applyBorder="1" applyAlignment="1" applyProtection="1">
      <alignment horizontal="left" vertical="center" wrapText="1" indent="2"/>
    </xf>
    <xf numFmtId="0" fontId="5" fillId="0" borderId="0" xfId="0" applyNumberFormat="1" applyFont="1" applyFill="1" applyAlignment="1" applyProtection="1">
      <alignment vertical="top"/>
    </xf>
    <xf numFmtId="49" fontId="58" fillId="0" borderId="52" xfId="0" applyNumberFormat="1" applyFont="1" applyFill="1" applyBorder="1" applyAlignment="1" applyProtection="1">
      <alignment horizontal="center" vertical="center"/>
    </xf>
    <xf numFmtId="0" fontId="57" fillId="0" borderId="52" xfId="0" applyFont="1" applyFill="1" applyBorder="1" applyAlignment="1" applyProtection="1">
      <alignment vertical="center" wrapText="1"/>
    </xf>
    <xf numFmtId="0" fontId="57" fillId="0" borderId="52" xfId="0" applyFont="1" applyFill="1" applyBorder="1" applyAlignment="1" applyProtection="1">
      <alignment horizontal="center" vertical="center" wrapText="1"/>
    </xf>
    <xf numFmtId="168" fontId="33" fillId="4" borderId="51" xfId="0" applyNumberFormat="1" applyFont="1" applyFill="1" applyBorder="1" applyAlignment="1" applyProtection="1">
      <alignment horizontal="right" vertical="center"/>
    </xf>
    <xf numFmtId="168" fontId="33" fillId="4" borderId="52" xfId="0" applyNumberFormat="1" applyFont="1" applyFill="1" applyBorder="1" applyAlignment="1" applyProtection="1">
      <alignment horizontal="right" vertical="center"/>
    </xf>
    <xf numFmtId="168" fontId="33" fillId="4" borderId="53" xfId="0" applyNumberFormat="1" applyFont="1" applyFill="1" applyBorder="1" applyAlignment="1" applyProtection="1">
      <alignment horizontal="right" vertical="center"/>
    </xf>
    <xf numFmtId="168" fontId="33" fillId="0" borderId="51" xfId="0" applyNumberFormat="1" applyFont="1" applyFill="1" applyBorder="1" applyAlignment="1" applyProtection="1">
      <alignment horizontal="right" vertical="center"/>
    </xf>
    <xf numFmtId="168" fontId="33" fillId="0" borderId="53" xfId="0" applyNumberFormat="1" applyFont="1" applyFill="1" applyBorder="1" applyAlignment="1" applyProtection="1">
      <alignment horizontal="right" vertical="center"/>
    </xf>
    <xf numFmtId="0" fontId="5" fillId="8" borderId="0" xfId="0" applyFont="1" applyFill="1" applyAlignment="1" applyProtection="1">
      <alignment horizontal="center" vertical="top"/>
    </xf>
    <xf numFmtId="0" fontId="5" fillId="8" borderId="0" xfId="0" applyFont="1" applyFill="1" applyAlignment="1" applyProtection="1">
      <alignment vertical="top"/>
    </xf>
    <xf numFmtId="0" fontId="57" fillId="11" borderId="52" xfId="0" applyFont="1" applyFill="1" applyBorder="1" applyAlignment="1" applyProtection="1">
      <alignment horizontal="left" vertical="top"/>
    </xf>
    <xf numFmtId="0" fontId="33" fillId="11" borderId="52" xfId="0" applyFont="1" applyFill="1" applyBorder="1" applyAlignment="1" applyProtection="1"/>
    <xf numFmtId="0" fontId="33" fillId="11" borderId="51" xfId="0" applyFont="1" applyFill="1" applyBorder="1" applyAlignment="1" applyProtection="1">
      <alignment vertical="center"/>
    </xf>
    <xf numFmtId="0" fontId="33" fillId="11" borderId="52" xfId="0" applyFont="1" applyFill="1" applyBorder="1" applyAlignment="1" applyProtection="1">
      <alignment vertical="center"/>
    </xf>
    <xf numFmtId="0" fontId="33" fillId="11" borderId="53" xfId="0" applyFont="1" applyFill="1" applyBorder="1" applyAlignment="1" applyProtection="1">
      <alignment vertical="center"/>
    </xf>
    <xf numFmtId="49" fontId="5" fillId="0" borderId="52" xfId="0" applyNumberFormat="1" applyFont="1" applyFill="1" applyBorder="1" applyAlignment="1" applyProtection="1">
      <alignment horizontal="center" vertical="center" wrapText="1"/>
    </xf>
    <xf numFmtId="0" fontId="17" fillId="0" borderId="52" xfId="0" applyFont="1" applyFill="1" applyBorder="1" applyAlignment="1" applyProtection="1">
      <alignment horizontal="left" vertical="center" wrapText="1"/>
    </xf>
    <xf numFmtId="168" fontId="17" fillId="10" borderId="51" xfId="0" applyNumberFormat="1" applyFont="1" applyFill="1" applyBorder="1" applyAlignment="1" applyProtection="1">
      <alignment horizontal="right" vertical="center"/>
      <protection locked="0"/>
    </xf>
    <xf numFmtId="168" fontId="17" fillId="10" borderId="52" xfId="0" applyNumberFormat="1" applyFont="1" applyFill="1" applyBorder="1" applyAlignment="1" applyProtection="1">
      <alignment horizontal="right" vertical="center"/>
      <protection locked="0"/>
    </xf>
    <xf numFmtId="168" fontId="17" fillId="10" borderId="53" xfId="0" applyNumberFormat="1" applyFont="1" applyFill="1" applyBorder="1" applyAlignment="1" applyProtection="1">
      <alignment horizontal="right" vertical="center"/>
      <protection locked="0"/>
    </xf>
    <xf numFmtId="0" fontId="17" fillId="0" borderId="52" xfId="0" applyFont="1" applyFill="1" applyBorder="1" applyAlignment="1" applyProtection="1">
      <alignment vertical="top" wrapText="1"/>
    </xf>
    <xf numFmtId="0" fontId="17" fillId="0" borderId="52" xfId="0" applyFont="1" applyFill="1" applyBorder="1" applyAlignment="1" applyProtection="1">
      <alignment horizontal="center" vertical="top" wrapText="1"/>
    </xf>
    <xf numFmtId="168" fontId="17" fillId="4" borderId="51" xfId="0" applyNumberFormat="1" applyFont="1" applyFill="1" applyBorder="1" applyAlignment="1" applyProtection="1">
      <alignment vertical="center"/>
    </xf>
    <xf numFmtId="168" fontId="17" fillId="4" borderId="52" xfId="0" applyNumberFormat="1" applyFont="1" applyFill="1" applyBorder="1" applyAlignment="1" applyProtection="1">
      <alignment vertical="center"/>
    </xf>
    <xf numFmtId="168" fontId="17" fillId="4" borderId="53" xfId="0" applyNumberFormat="1" applyFont="1" applyFill="1" applyBorder="1" applyAlignment="1" applyProtection="1">
      <alignment vertical="center"/>
    </xf>
    <xf numFmtId="49" fontId="5" fillId="0" borderId="52" xfId="0" applyNumberFormat="1" applyFont="1" applyFill="1" applyBorder="1" applyAlignment="1" applyProtection="1">
      <alignment horizontal="center"/>
    </xf>
    <xf numFmtId="0" fontId="17" fillId="0" borderId="52" xfId="0" applyFont="1" applyFill="1" applyBorder="1" applyAlignment="1" applyProtection="1">
      <alignment horizontal="left" vertical="top" wrapText="1" indent="1"/>
    </xf>
    <xf numFmtId="0" fontId="17" fillId="8" borderId="52" xfId="0" applyFont="1" applyFill="1" applyBorder="1" applyAlignment="1" applyProtection="1">
      <alignment horizontal="left" vertical="top" wrapText="1" indent="1"/>
    </xf>
    <xf numFmtId="0" fontId="17" fillId="8" borderId="52" xfId="0" applyFont="1" applyFill="1" applyBorder="1" applyAlignment="1" applyProtection="1">
      <alignment vertical="top" wrapText="1"/>
    </xf>
    <xf numFmtId="49" fontId="0" fillId="0" borderId="52" xfId="0" applyNumberFormat="1" applyFill="1" applyBorder="1" applyAlignment="1" applyProtection="1">
      <alignment horizontal="center"/>
    </xf>
    <xf numFmtId="49" fontId="57" fillId="0" borderId="52" xfId="0" applyNumberFormat="1" applyFont="1" applyFill="1" applyBorder="1" applyAlignment="1" applyProtection="1">
      <alignment horizontal="center" vertical="center"/>
    </xf>
    <xf numFmtId="0" fontId="57" fillId="8" borderId="52" xfId="0" applyFont="1" applyFill="1" applyBorder="1" applyAlignment="1" applyProtection="1">
      <alignment vertical="center" wrapText="1"/>
    </xf>
    <xf numFmtId="0" fontId="18" fillId="0" borderId="0" xfId="5" applyNumberFormat="1" applyAlignment="1" applyProtection="1">
      <alignment vertical="top"/>
    </xf>
    <xf numFmtId="0" fontId="0" fillId="0" borderId="0" xfId="0" applyNumberFormat="1" applyAlignment="1" applyProtection="1">
      <alignment vertical="top"/>
    </xf>
    <xf numFmtId="0" fontId="0" fillId="0" borderId="0" xfId="0" applyAlignment="1" applyProtection="1">
      <alignment vertical="top" wrapText="1"/>
    </xf>
    <xf numFmtId="0" fontId="43" fillId="0" borderId="0" xfId="17" applyFont="1" applyAlignment="1" applyProtection="1">
      <alignment horizontal="center" vertical="center" wrapText="1"/>
    </xf>
    <xf numFmtId="0" fontId="38" fillId="0" borderId="0" xfId="17" applyNumberFormat="1" applyFont="1" applyAlignment="1" applyProtection="1">
      <alignment horizontal="center" vertical="center" wrapText="1"/>
    </xf>
    <xf numFmtId="0" fontId="38" fillId="0" borderId="0" xfId="17" applyFont="1" applyAlignment="1" applyProtection="1">
      <alignment horizontal="center" vertical="center" wrapText="1"/>
    </xf>
    <xf numFmtId="0" fontId="25" fillId="0" borderId="0" xfId="0" applyNumberFormat="1" applyFont="1" applyAlignment="1" applyProtection="1"/>
    <xf numFmtId="49" fontId="25" fillId="0" borderId="0" xfId="0" applyNumberFormat="1" applyFont="1" applyAlignment="1" applyProtection="1"/>
    <xf numFmtId="0" fontId="24" fillId="5" borderId="1" xfId="0" applyNumberFormat="1" applyFont="1" applyFill="1" applyBorder="1" applyAlignment="1" applyProtection="1">
      <alignment horizontal="center" vertical="center" wrapText="1"/>
    </xf>
    <xf numFmtId="49" fontId="24" fillId="5" borderId="1" xfId="0" applyNumberFormat="1" applyFont="1" applyFill="1" applyBorder="1" applyAlignment="1" applyProtection="1">
      <alignment horizontal="center" vertical="center" wrapText="1"/>
    </xf>
    <xf numFmtId="0" fontId="26" fillId="5" borderId="1" xfId="0" applyNumberFormat="1" applyFont="1" applyFill="1" applyBorder="1" applyAlignment="1" applyProtection="1">
      <alignment horizontal="center" vertical="center" wrapText="1"/>
    </xf>
    <xf numFmtId="1" fontId="26" fillId="5" borderId="1" xfId="0" applyNumberFormat="1" applyFont="1" applyFill="1" applyBorder="1" applyAlignment="1" applyProtection="1">
      <alignment horizontal="center" vertical="center" wrapText="1"/>
    </xf>
    <xf numFmtId="49" fontId="26" fillId="5" borderId="1" xfId="0" applyNumberFormat="1" applyFont="1" applyFill="1" applyBorder="1" applyAlignment="1" applyProtection="1">
      <alignment horizontal="center" vertical="center" wrapText="1"/>
    </xf>
    <xf numFmtId="0" fontId="24" fillId="0" borderId="1" xfId="0" applyNumberFormat="1" applyFont="1" applyBorder="1" applyAlignment="1" applyProtection="1">
      <alignment horizontal="left" vertical="center" wrapText="1"/>
    </xf>
    <xf numFmtId="49" fontId="24" fillId="5" borderId="1" xfId="0" applyNumberFormat="1" applyFont="1" applyFill="1" applyBorder="1" applyAlignment="1" applyProtection="1">
      <alignment horizontal="left" vertical="center" wrapText="1"/>
    </xf>
    <xf numFmtId="4" fontId="24" fillId="14" borderId="1" xfId="0" applyNumberFormat="1" applyFont="1" applyFill="1" applyBorder="1" applyAlignment="1" applyProtection="1">
      <alignment horizontal="center" vertical="center"/>
    </xf>
    <xf numFmtId="10" fontId="24" fillId="3" borderId="1" xfId="0" applyNumberFormat="1" applyFont="1" applyFill="1" applyBorder="1" applyAlignment="1" applyProtection="1">
      <alignment horizontal="center" vertical="center"/>
      <protection locked="0"/>
    </xf>
    <xf numFmtId="0" fontId="24" fillId="3" borderId="1" xfId="0" applyNumberFormat="1" applyFont="1" applyFill="1" applyBorder="1" applyAlignment="1" applyProtection="1">
      <alignment horizontal="left" vertical="center" wrapText="1"/>
      <protection locked="0"/>
    </xf>
    <xf numFmtId="0" fontId="25" fillId="0" borderId="1" xfId="0" applyNumberFormat="1" applyFont="1" applyFill="1" applyBorder="1" applyAlignment="1" applyProtection="1">
      <alignment horizontal="left" vertical="center" wrapText="1"/>
    </xf>
    <xf numFmtId="0" fontId="25" fillId="0" borderId="1" xfId="0" applyNumberFormat="1" applyFont="1" applyBorder="1" applyAlignment="1" applyProtection="1">
      <alignment horizontal="left" vertical="center" wrapText="1" indent="1"/>
    </xf>
    <xf numFmtId="49" fontId="25" fillId="5" borderId="1" xfId="0" applyNumberFormat="1" applyFont="1" applyFill="1" applyBorder="1" applyAlignment="1" applyProtection="1">
      <alignment horizontal="left" vertical="center" wrapText="1"/>
    </xf>
    <xf numFmtId="4" fontId="25" fillId="3" borderId="1" xfId="0" applyNumberFormat="1" applyFont="1" applyFill="1" applyBorder="1" applyAlignment="1" applyProtection="1">
      <alignment horizontal="center" vertical="center"/>
      <protection locked="0"/>
    </xf>
    <xf numFmtId="4" fontId="25" fillId="14" borderId="1" xfId="0" applyNumberFormat="1" applyFont="1" applyFill="1" applyBorder="1" applyAlignment="1" applyProtection="1">
      <alignment horizontal="center" vertical="center"/>
    </xf>
    <xf numFmtId="10" fontId="25" fillId="3" borderId="1" xfId="0" applyNumberFormat="1" applyFont="1" applyFill="1" applyBorder="1" applyAlignment="1" applyProtection="1">
      <alignment horizontal="center" vertical="center"/>
      <protection locked="0"/>
    </xf>
    <xf numFmtId="0" fontId="25" fillId="3"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left" vertical="center" wrapText="1" indent="1"/>
      <protection locked="0"/>
    </xf>
    <xf numFmtId="49" fontId="25" fillId="3" borderId="1" xfId="0" applyNumberFormat="1" applyFont="1" applyFill="1" applyBorder="1" applyAlignment="1" applyProtection="1">
      <alignment horizontal="left" vertical="center" wrapText="1"/>
      <protection locked="0"/>
    </xf>
    <xf numFmtId="4" fontId="25" fillId="5" borderId="1" xfId="0" applyNumberFormat="1" applyFont="1" applyFill="1" applyBorder="1" applyAlignment="1" applyProtection="1">
      <alignment horizontal="center" vertical="center"/>
    </xf>
    <xf numFmtId="10" fontId="25" fillId="5"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left" vertical="center" wrapText="1" indent="2"/>
      <protection locked="0"/>
    </xf>
    <xf numFmtId="49" fontId="25" fillId="3" borderId="1" xfId="0" applyNumberFormat="1" applyFont="1" applyFill="1" applyBorder="1" applyAlignment="1" applyProtection="1">
      <alignment vertical="center" wrapText="1"/>
      <protection locked="0"/>
    </xf>
    <xf numFmtId="0" fontId="60" fillId="17" borderId="1" xfId="5" applyNumberFormat="1" applyFont="1" applyFill="1" applyBorder="1" applyAlignment="1" applyProtection="1">
      <alignment horizontal="left" vertical="top" wrapText="1"/>
    </xf>
    <xf numFmtId="0" fontId="60" fillId="17" borderId="1" xfId="5" applyNumberFormat="1" applyFont="1" applyFill="1" applyBorder="1" applyAlignment="1" applyProtection="1">
      <alignment horizontal="left" vertical="top" wrapText="1" indent="1"/>
    </xf>
    <xf numFmtId="49" fontId="28" fillId="0" borderId="1" xfId="25" quotePrefix="1" applyNumberFormat="1" applyFill="1" applyBorder="1" applyAlignment="1" applyProtection="1">
      <alignment horizontal="left" vertical="center" wrapText="1" indent="2"/>
    </xf>
    <xf numFmtId="49" fontId="60" fillId="17" borderId="1" xfId="5" applyNumberFormat="1" applyFont="1" applyFill="1" applyBorder="1" applyAlignment="1" applyProtection="1">
      <alignment horizontal="left" vertical="top" wrapText="1" indent="1"/>
    </xf>
    <xf numFmtId="10" fontId="60" fillId="17" borderId="1" xfId="5" applyNumberFormat="1" applyFont="1" applyFill="1" applyBorder="1" applyAlignment="1" applyProtection="1">
      <alignment horizontal="left" vertical="top" wrapText="1" indent="1"/>
    </xf>
    <xf numFmtId="0" fontId="61" fillId="0" borderId="0" xfId="25" applyFont="1" applyAlignment="1" applyProtection="1">
      <alignment horizontal="center" vertical="center"/>
    </xf>
    <xf numFmtId="0" fontId="28" fillId="0" borderId="1" xfId="25" quotePrefix="1" applyNumberFormat="1" applyFill="1" applyBorder="1" applyAlignment="1" applyProtection="1">
      <alignment horizontal="left" vertical="center" wrapText="1"/>
    </xf>
    <xf numFmtId="49" fontId="60" fillId="17" borderId="1" xfId="5" applyNumberFormat="1" applyFont="1" applyFill="1" applyBorder="1" applyAlignment="1" applyProtection="1">
      <alignment vertical="top" wrapText="1"/>
    </xf>
    <xf numFmtId="10" fontId="60" fillId="17" borderId="1" xfId="5" applyNumberFormat="1" applyFont="1" applyFill="1" applyBorder="1" applyAlignment="1" applyProtection="1">
      <alignment vertical="top" wrapText="1"/>
    </xf>
    <xf numFmtId="0" fontId="25" fillId="0" borderId="1" xfId="0" applyNumberFormat="1" applyFont="1" applyBorder="1" applyAlignment="1" applyProtection="1">
      <alignment horizontal="left" vertical="center" wrapText="1" indent="2"/>
    </xf>
    <xf numFmtId="4" fontId="25" fillId="3" borderId="1" xfId="0" applyNumberFormat="1" applyFont="1" applyFill="1" applyBorder="1" applyAlignment="1" applyProtection="1">
      <alignment horizontal="left" vertical="center"/>
      <protection locked="0"/>
    </xf>
    <xf numFmtId="4" fontId="24" fillId="3" borderId="1" xfId="0" applyNumberFormat="1"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xf>
    <xf numFmtId="10" fontId="24" fillId="3" borderId="1" xfId="0" applyNumberFormat="1" applyFont="1" applyFill="1" applyBorder="1" applyAlignment="1" applyProtection="1">
      <alignment horizontal="center" vertical="center"/>
    </xf>
    <xf numFmtId="0" fontId="25" fillId="0" borderId="1" xfId="0" applyNumberFormat="1" applyFont="1" applyBorder="1" applyAlignment="1" applyProtection="1">
      <alignment horizontal="left" vertical="center" wrapText="1"/>
    </xf>
    <xf numFmtId="0" fontId="24" fillId="0" borderId="1" xfId="0" applyNumberFormat="1" applyFont="1" applyFill="1" applyBorder="1" applyAlignment="1" applyProtection="1">
      <alignment vertical="center" wrapText="1"/>
    </xf>
    <xf numFmtId="0" fontId="24" fillId="5" borderId="1" xfId="0" applyNumberFormat="1" applyFont="1" applyFill="1" applyBorder="1" applyAlignment="1" applyProtection="1">
      <alignment horizontal="left" vertical="center" wrapText="1"/>
    </xf>
    <xf numFmtId="0" fontId="62" fillId="0" borderId="0" xfId="0" applyNumberFormat="1" applyFont="1" applyAlignment="1" applyProtection="1">
      <alignment vertical="top"/>
    </xf>
    <xf numFmtId="0" fontId="62" fillId="0" borderId="0" xfId="0" applyFont="1" applyAlignment="1" applyProtection="1">
      <alignment vertical="top"/>
    </xf>
    <xf numFmtId="0" fontId="25" fillId="0" borderId="0" xfId="0" applyFont="1" applyFill="1" applyAlignment="1" applyProtection="1">
      <alignment vertical="top"/>
    </xf>
    <xf numFmtId="0" fontId="25" fillId="0" borderId="0" xfId="0" applyNumberFormat="1" applyFont="1" applyAlignment="1" applyProtection="1">
      <alignment vertical="top"/>
    </xf>
    <xf numFmtId="0" fontId="25" fillId="0" borderId="0" xfId="0" applyFont="1" applyAlignment="1" applyProtection="1">
      <alignment vertical="top" wrapText="1"/>
    </xf>
    <xf numFmtId="0" fontId="0" fillId="0" borderId="0" xfId="0" applyAlignment="1" applyProtection="1"/>
    <xf numFmtId="0" fontId="25" fillId="0" borderId="0" xfId="0" applyFont="1" applyAlignment="1" applyProtection="1">
      <alignment horizontal="left" vertical="top" indent="1"/>
    </xf>
    <xf numFmtId="0" fontId="0" fillId="0" borderId="0" xfId="0" applyNumberFormat="1" applyAlignment="1" applyProtection="1"/>
    <xf numFmtId="49" fontId="64" fillId="0" borderId="0" xfId="0" applyNumberFormat="1" applyFont="1" applyAlignment="1" applyProtection="1">
      <alignment wrapText="1"/>
    </xf>
    <xf numFmtId="49" fontId="64" fillId="0" borderId="0" xfId="0" applyNumberFormat="1" applyFont="1" applyAlignment="1" applyProtection="1">
      <alignment vertical="top" wrapText="1"/>
    </xf>
    <xf numFmtId="0" fontId="63" fillId="0" borderId="0" xfId="0" applyNumberFormat="1" applyFont="1" applyAlignment="1" applyProtection="1">
      <alignment vertical="top"/>
    </xf>
    <xf numFmtId="0" fontId="63" fillId="0" borderId="0" xfId="0" applyNumberFormat="1" applyFont="1" applyAlignment="1" applyProtection="1"/>
    <xf numFmtId="49" fontId="63" fillId="0" borderId="0" xfId="0" applyNumberFormat="1" applyFont="1" applyAlignment="1" applyProtection="1"/>
    <xf numFmtId="0" fontId="65" fillId="0" borderId="0" xfId="5" applyFont="1" applyAlignment="1" applyProtection="1">
      <alignment horizontal="left" vertical="top"/>
    </xf>
    <xf numFmtId="49" fontId="39" fillId="0" borderId="0" xfId="0" applyNumberFormat="1" applyFont="1" applyAlignment="1" applyProtection="1">
      <alignment horizontal="center" vertical="center" wrapText="1"/>
    </xf>
    <xf numFmtId="49" fontId="39" fillId="0" borderId="0" xfId="0" applyNumberFormat="1" applyFont="1" applyAlignment="1" applyProtection="1">
      <alignment horizontal="center" vertical="center"/>
    </xf>
    <xf numFmtId="0" fontId="0" fillId="0" borderId="0" xfId="0" applyAlignment="1" applyProtection="1">
      <alignment horizontal="center" vertical="top"/>
    </xf>
    <xf numFmtId="49" fontId="25" fillId="0" borderId="0" xfId="0" applyNumberFormat="1" applyFont="1" applyAlignment="1" applyProtection="1">
      <alignment wrapText="1"/>
    </xf>
    <xf numFmtId="0" fontId="26" fillId="5" borderId="1" xfId="0" applyFont="1" applyFill="1" applyBorder="1" applyAlignment="1" applyProtection="1">
      <alignment horizontal="center" vertical="top"/>
    </xf>
    <xf numFmtId="0" fontId="25" fillId="0" borderId="1" xfId="0" applyFont="1" applyBorder="1" applyAlignment="1" applyProtection="1">
      <alignment horizontal="left" vertical="top"/>
    </xf>
    <xf numFmtId="49" fontId="24" fillId="0" borderId="1" xfId="0" applyNumberFormat="1" applyFont="1" applyBorder="1" applyAlignment="1" applyProtection="1">
      <alignment horizontal="left" vertical="center" wrapText="1"/>
    </xf>
    <xf numFmtId="0" fontId="25" fillId="5" borderId="1" xfId="0" applyFont="1" applyFill="1" applyBorder="1" applyAlignment="1" applyProtection="1">
      <alignment horizontal="center" vertical="top"/>
    </xf>
    <xf numFmtId="2" fontId="24" fillId="3" borderId="1" xfId="0" applyNumberFormat="1" applyFont="1" applyFill="1" applyBorder="1" applyAlignment="1" applyProtection="1">
      <alignment horizontal="center" vertical="center"/>
      <protection locked="0"/>
    </xf>
    <xf numFmtId="2" fontId="24" fillId="14" borderId="1" xfId="0" applyNumberFormat="1" applyFont="1" applyFill="1" applyBorder="1" applyAlignment="1" applyProtection="1">
      <alignment horizontal="center" vertical="center"/>
    </xf>
    <xf numFmtId="16" fontId="25" fillId="0" borderId="1" xfId="0" applyNumberFormat="1" applyFont="1" applyBorder="1" applyAlignment="1" applyProtection="1">
      <alignment horizontal="left" vertical="top"/>
    </xf>
    <xf numFmtId="49" fontId="25" fillId="0" borderId="1" xfId="0" applyNumberFormat="1" applyFont="1" applyBorder="1" applyAlignment="1" applyProtection="1">
      <alignment horizontal="left" vertical="center" wrapText="1" indent="1"/>
    </xf>
    <xf numFmtId="2" fontId="25" fillId="3" borderId="1" xfId="0" applyNumberFormat="1" applyFont="1" applyFill="1" applyBorder="1" applyAlignment="1" applyProtection="1">
      <alignment horizontal="center" vertical="center"/>
      <protection locked="0"/>
    </xf>
    <xf numFmtId="2" fontId="25" fillId="14" borderId="1" xfId="0" applyNumberFormat="1" applyFont="1" applyFill="1" applyBorder="1" applyAlignment="1" applyProtection="1">
      <alignment horizontal="center" vertical="center"/>
    </xf>
    <xf numFmtId="2" fontId="25" fillId="5" borderId="1" xfId="0" applyNumberFormat="1" applyFont="1" applyFill="1" applyBorder="1" applyAlignment="1" applyProtection="1">
      <alignment horizontal="center" vertical="center"/>
    </xf>
    <xf numFmtId="0" fontId="25" fillId="15" borderId="1" xfId="0" applyFont="1" applyFill="1" applyBorder="1" applyAlignment="1" applyProtection="1">
      <alignment horizontal="left" vertical="top"/>
    </xf>
    <xf numFmtId="49" fontId="25" fillId="3" borderId="1" xfId="0" applyNumberFormat="1" applyFont="1" applyFill="1" applyBorder="1" applyAlignment="1" applyProtection="1">
      <alignment horizontal="left" vertical="center" wrapText="1" indent="3"/>
      <protection locked="0"/>
    </xf>
    <xf numFmtId="49" fontId="60" fillId="17" borderId="1" xfId="5" applyNumberFormat="1" applyFont="1" applyFill="1" applyBorder="1" applyAlignment="1" applyProtection="1">
      <alignment horizontal="left" vertical="top" wrapText="1"/>
    </xf>
    <xf numFmtId="2" fontId="60" fillId="17" borderId="1" xfId="5" applyNumberFormat="1" applyFont="1" applyFill="1" applyBorder="1" applyAlignment="1" applyProtection="1">
      <alignment vertical="top" wrapText="1"/>
    </xf>
    <xf numFmtId="49" fontId="25" fillId="3" borderId="1" xfId="0" applyNumberFormat="1" applyFont="1" applyFill="1" applyBorder="1" applyAlignment="1" applyProtection="1">
      <alignment horizontal="left" vertical="center" wrapText="1" indent="1"/>
      <protection locked="0"/>
    </xf>
    <xf numFmtId="2" fontId="66" fillId="5" borderId="1" xfId="0" applyNumberFormat="1" applyFont="1" applyFill="1" applyBorder="1" applyAlignment="1" applyProtection="1">
      <alignment horizontal="center" vertical="center"/>
    </xf>
    <xf numFmtId="10" fontId="66" fillId="5" borderId="1" xfId="0" applyNumberFormat="1" applyFont="1" applyFill="1" applyBorder="1" applyAlignment="1" applyProtection="1">
      <alignment horizontal="center" vertical="center"/>
    </xf>
    <xf numFmtId="49" fontId="28" fillId="0" borderId="1" xfId="25" quotePrefix="1" applyNumberFormat="1" applyFill="1" applyBorder="1" applyAlignment="1" applyProtection="1">
      <alignment horizontal="left" vertical="center" wrapText="1"/>
    </xf>
    <xf numFmtId="49" fontId="25" fillId="5" borderId="1" xfId="0" applyNumberFormat="1" applyFont="1" applyFill="1" applyBorder="1" applyAlignment="1" applyProtection="1">
      <alignment horizontal="left" vertical="center" wrapText="1" indent="1"/>
    </xf>
    <xf numFmtId="49" fontId="67" fillId="17" borderId="1" xfId="5" applyNumberFormat="1" applyFont="1" applyFill="1" applyBorder="1" applyAlignment="1" applyProtection="1">
      <alignment horizontal="left" vertical="top" wrapText="1"/>
    </xf>
    <xf numFmtId="49" fontId="67" fillId="17" borderId="1" xfId="5" applyNumberFormat="1" applyFont="1" applyFill="1" applyBorder="1" applyAlignment="1" applyProtection="1">
      <alignment horizontal="left" vertical="top" wrapText="1" indent="1"/>
    </xf>
    <xf numFmtId="2" fontId="67" fillId="17" borderId="1" xfId="5" applyNumberFormat="1" applyFont="1" applyFill="1" applyBorder="1" applyAlignment="1" applyProtection="1">
      <alignment vertical="top" wrapText="1"/>
    </xf>
    <xf numFmtId="10" fontId="67" fillId="17" borderId="1" xfId="5" applyNumberFormat="1" applyFont="1" applyFill="1" applyBorder="1" applyAlignment="1" applyProtection="1">
      <alignment vertical="top" wrapText="1"/>
    </xf>
    <xf numFmtId="0" fontId="67" fillId="17" borderId="1" xfId="5" applyNumberFormat="1" applyFont="1" applyFill="1" applyBorder="1" applyAlignment="1" applyProtection="1">
      <alignment horizontal="left" vertical="top" wrapText="1"/>
    </xf>
    <xf numFmtId="49" fontId="67" fillId="17" borderId="1" xfId="5" applyNumberFormat="1" applyFont="1" applyFill="1" applyBorder="1" applyAlignment="1" applyProtection="1">
      <alignment vertical="top" wrapText="1"/>
    </xf>
    <xf numFmtId="0" fontId="25" fillId="0" borderId="0" xfId="0" applyFont="1" applyAlignment="1" applyProtection="1">
      <alignment vertical="top"/>
    </xf>
    <xf numFmtId="49" fontId="41" fillId="0" borderId="0" xfId="0" applyNumberFormat="1" applyFont="1" applyAlignment="1" applyProtection="1">
      <alignment vertical="top" wrapText="1"/>
    </xf>
    <xf numFmtId="49" fontId="63" fillId="0" borderId="0" xfId="0" applyNumberFormat="1" applyFont="1" applyAlignment="1" applyProtection="1">
      <alignment vertical="top"/>
    </xf>
    <xf numFmtId="0" fontId="18" fillId="0" borderId="0" xfId="5" quotePrefix="1" applyAlignment="1" applyProtection="1">
      <alignment vertical="top"/>
    </xf>
    <xf numFmtId="0" fontId="68" fillId="0" borderId="0" xfId="0" applyFont="1" applyProtection="1"/>
    <xf numFmtId="0" fontId="16" fillId="8" borderId="0" xfId="10" applyFont="1" applyFill="1" applyBorder="1" applyAlignment="1" applyProtection="1">
      <alignment vertical="center" wrapText="1"/>
    </xf>
    <xf numFmtId="0" fontId="5" fillId="0" borderId="0" xfId="9" applyFont="1" applyAlignment="1" applyProtection="1">
      <alignment vertical="center" wrapText="1"/>
    </xf>
    <xf numFmtId="0" fontId="24" fillId="5" borderId="1" xfId="0" applyFont="1" applyFill="1" applyBorder="1" applyAlignment="1" applyProtection="1">
      <alignment horizontal="center" vertical="center" wrapText="1"/>
    </xf>
    <xf numFmtId="0" fontId="69" fillId="15" borderId="1" xfId="26" applyFont="1" applyFill="1" applyBorder="1" applyAlignment="1" applyProtection="1">
      <alignment horizontal="center" vertical="center"/>
    </xf>
    <xf numFmtId="0" fontId="69" fillId="15" borderId="1" xfId="26" applyFont="1" applyFill="1" applyBorder="1" applyAlignment="1" applyProtection="1">
      <alignment vertical="center" wrapText="1"/>
    </xf>
    <xf numFmtId="0" fontId="69" fillId="5" borderId="1" xfId="26" applyNumberFormat="1" applyFont="1" applyFill="1" applyBorder="1" applyAlignment="1" applyProtection="1">
      <alignment vertical="center" wrapText="1"/>
    </xf>
    <xf numFmtId="0" fontId="69" fillId="5" borderId="1" xfId="26" applyNumberFormat="1" applyFont="1" applyFill="1" applyBorder="1" applyAlignment="1" applyProtection="1">
      <alignment horizontal="left" vertical="center" wrapText="1"/>
    </xf>
    <xf numFmtId="0" fontId="69" fillId="5" borderId="1" xfId="26" applyFont="1" applyFill="1" applyBorder="1" applyAlignment="1" applyProtection="1">
      <alignment vertical="center"/>
    </xf>
    <xf numFmtId="0" fontId="69" fillId="5" borderId="1" xfId="26" applyNumberFormat="1" applyFont="1" applyFill="1" applyBorder="1" applyAlignment="1" applyProtection="1">
      <alignment horizontal="left" vertical="center"/>
    </xf>
    <xf numFmtId="0" fontId="70" fillId="15" borderId="1" xfId="26" applyFont="1" applyFill="1" applyBorder="1" applyAlignment="1" applyProtection="1">
      <alignment horizontal="center" vertical="center"/>
    </xf>
    <xf numFmtId="0" fontId="25" fillId="5" borderId="1" xfId="0" applyNumberFormat="1" applyFont="1" applyFill="1" applyBorder="1" applyAlignment="1" applyProtection="1">
      <alignment horizontal="left" vertical="center" wrapText="1"/>
    </xf>
    <xf numFmtId="49" fontId="25" fillId="16" borderId="1" xfId="0" applyNumberFormat="1" applyFont="1" applyFill="1" applyBorder="1" applyAlignment="1" applyProtection="1">
      <alignment horizontal="left" vertical="center" wrapText="1"/>
      <protection locked="0"/>
    </xf>
    <xf numFmtId="2" fontId="25" fillId="3" borderId="1" xfId="0" applyNumberFormat="1" applyFont="1" applyFill="1" applyBorder="1" applyAlignment="1" applyProtection="1">
      <alignment horizontal="left" vertical="center" wrapText="1"/>
      <protection locked="0"/>
    </xf>
    <xf numFmtId="2" fontId="60" fillId="17" borderId="1" xfId="5" applyNumberFormat="1" applyFont="1" applyFill="1" applyBorder="1" applyAlignment="1" applyProtection="1">
      <alignment horizontal="left" vertical="top" wrapText="1"/>
    </xf>
    <xf numFmtId="0" fontId="42" fillId="15" borderId="1" xfId="26" applyFont="1" applyFill="1" applyBorder="1" applyAlignment="1" applyProtection="1">
      <alignment horizontal="center" vertical="center" wrapText="1"/>
    </xf>
    <xf numFmtId="0" fontId="42" fillId="5" borderId="1" xfId="26" applyNumberFormat="1" applyFont="1" applyFill="1" applyBorder="1" applyAlignment="1" applyProtection="1">
      <alignment horizontal="center" vertical="center" wrapText="1"/>
    </xf>
    <xf numFmtId="0" fontId="42" fillId="5" borderId="1" xfId="26" applyNumberFormat="1" applyFont="1" applyFill="1" applyBorder="1" applyAlignment="1" applyProtection="1">
      <alignment horizontal="left" vertical="center" wrapText="1"/>
    </xf>
    <xf numFmtId="0" fontId="42" fillId="5" borderId="1" xfId="26" applyFont="1" applyFill="1" applyBorder="1" applyAlignment="1" applyProtection="1">
      <alignment horizontal="center" vertical="center" wrapText="1"/>
    </xf>
    <xf numFmtId="2" fontId="24" fillId="14" borderId="1" xfId="26" applyNumberFormat="1" applyFont="1" applyFill="1" applyBorder="1" applyAlignment="1" applyProtection="1">
      <alignment horizontal="center" vertical="center" wrapText="1"/>
    </xf>
    <xf numFmtId="0" fontId="71" fillId="0" borderId="0" xfId="0" applyFont="1" applyAlignment="1" applyProtection="1">
      <alignment horizontal="right"/>
    </xf>
    <xf numFmtId="49" fontId="72" fillId="0" borderId="0" xfId="5" applyNumberFormat="1" applyFont="1" applyFill="1" applyBorder="1" applyAlignment="1" applyProtection="1">
      <alignment vertical="top"/>
    </xf>
    <xf numFmtId="49" fontId="40" fillId="0" borderId="0" xfId="0" applyNumberFormat="1" applyFont="1" applyAlignment="1" applyProtection="1">
      <alignment vertical="top"/>
    </xf>
    <xf numFmtId="49" fontId="73" fillId="0" borderId="0" xfId="0" applyNumberFormat="1" applyFont="1" applyBorder="1" applyAlignment="1" applyProtection="1">
      <alignment vertical="top"/>
    </xf>
    <xf numFmtId="0" fontId="38" fillId="0" borderId="0" xfId="17" applyFont="1" applyBorder="1" applyAlignment="1" applyProtection="1">
      <alignment horizontal="center" vertical="center" wrapText="1"/>
    </xf>
    <xf numFmtId="0" fontId="26" fillId="5" borderId="1" xfId="11" applyFont="1" applyFill="1" applyBorder="1" applyProtection="1">
      <alignment horizontal="center" vertical="center" wrapText="1"/>
    </xf>
    <xf numFmtId="49" fontId="39" fillId="0" borderId="1" xfId="0" applyNumberFormat="1" applyFont="1" applyBorder="1" applyAlignment="1" applyProtection="1">
      <alignment vertical="top" wrapText="1"/>
    </xf>
    <xf numFmtId="49" fontId="39" fillId="5" borderId="1" xfId="0" applyNumberFormat="1" applyFont="1" applyFill="1" applyBorder="1" applyAlignment="1" applyProtection="1">
      <alignment vertical="top" wrapText="1"/>
    </xf>
    <xf numFmtId="49" fontId="40" fillId="0" borderId="1" xfId="0" applyNumberFormat="1" applyFont="1" applyBorder="1" applyAlignment="1" applyProtection="1">
      <alignment vertical="top"/>
    </xf>
    <xf numFmtId="49" fontId="40" fillId="0" borderId="1" xfId="0" applyNumberFormat="1" applyFont="1" applyBorder="1" applyAlignment="1" applyProtection="1">
      <alignment vertical="top" wrapText="1"/>
    </xf>
    <xf numFmtId="49" fontId="40" fillId="0" borderId="1" xfId="0" applyNumberFormat="1" applyFont="1" applyBorder="1" applyAlignment="1" applyProtection="1">
      <alignment horizontal="center" vertical="top"/>
    </xf>
    <xf numFmtId="3" fontId="40" fillId="3" borderId="1" xfId="12" applyNumberFormat="1" applyFont="1" applyFill="1" applyBorder="1" applyAlignment="1" applyProtection="1">
      <alignment horizontal="right"/>
      <protection locked="0"/>
    </xf>
    <xf numFmtId="0" fontId="0" fillId="0" borderId="0" xfId="0" applyAlignment="1" applyProtection="1">
      <alignment horizontal="right"/>
    </xf>
    <xf numFmtId="49" fontId="39" fillId="5" borderId="1" xfId="0" applyNumberFormat="1" applyFont="1" applyFill="1" applyBorder="1" applyAlignment="1" applyProtection="1">
      <alignment horizontal="right" wrapText="1"/>
    </xf>
    <xf numFmtId="4" fontId="40" fillId="5" borderId="1" xfId="12" applyNumberFormat="1" applyFont="1" applyFill="1" applyBorder="1" applyAlignment="1" applyProtection="1">
      <alignment horizontal="right"/>
    </xf>
    <xf numFmtId="4" fontId="40" fillId="3" borderId="1" xfId="12" applyNumberFormat="1" applyFont="1" applyFill="1" applyBorder="1" applyAlignment="1" applyProtection="1">
      <alignment horizontal="right"/>
      <protection locked="0"/>
    </xf>
    <xf numFmtId="4" fontId="40" fillId="14" borderId="1" xfId="12" applyNumberFormat="1" applyFont="1" applyFill="1" applyBorder="1" applyAlignment="1" applyProtection="1">
      <alignment horizontal="right"/>
    </xf>
    <xf numFmtId="4" fontId="74" fillId="17" borderId="1" xfId="5" applyNumberFormat="1" applyFont="1" applyFill="1" applyBorder="1" applyAlignment="1" applyProtection="1">
      <alignment horizontal="right" wrapText="1"/>
    </xf>
    <xf numFmtId="9" fontId="40" fillId="3" borderId="1" xfId="21" applyFont="1" applyFill="1" applyBorder="1" applyAlignment="1" applyProtection="1">
      <alignment horizontal="right"/>
      <protection locked="0"/>
    </xf>
    <xf numFmtId="49" fontId="40" fillId="3" borderId="1" xfId="0" applyNumberFormat="1" applyFont="1" applyFill="1" applyBorder="1" applyAlignment="1" applyProtection="1">
      <alignment vertical="top" wrapText="1"/>
      <protection locked="0"/>
    </xf>
    <xf numFmtId="49" fontId="39" fillId="0" borderId="1" xfId="0" applyNumberFormat="1" applyFont="1" applyBorder="1" applyAlignment="1" applyProtection="1">
      <alignment horizontal="center" vertical="top"/>
    </xf>
    <xf numFmtId="4" fontId="39" fillId="14" borderId="1" xfId="12" applyNumberFormat="1" applyFont="1" applyFill="1" applyBorder="1" applyAlignment="1" applyProtection="1">
      <alignment horizontal="right"/>
    </xf>
    <xf numFmtId="1" fontId="40" fillId="3" borderId="1" xfId="21" applyNumberFormat="1" applyFont="1" applyFill="1" applyBorder="1" applyAlignment="1" applyProtection="1">
      <alignment horizontal="right"/>
      <protection locked="0"/>
    </xf>
    <xf numFmtId="166" fontId="39" fillId="3" borderId="1" xfId="21" applyNumberFormat="1" applyFont="1" applyFill="1" applyBorder="1" applyAlignment="1" applyProtection="1">
      <alignment horizontal="right"/>
      <protection locked="0"/>
    </xf>
    <xf numFmtId="0" fontId="0" fillId="0" borderId="0" xfId="0" applyAlignment="1" applyProtection="1">
      <alignment horizontal="right" vertical="center"/>
    </xf>
    <xf numFmtId="0" fontId="0" fillId="0" borderId="0" xfId="0" applyAlignment="1" applyProtection="1">
      <alignment wrapText="1"/>
    </xf>
    <xf numFmtId="0" fontId="75" fillId="0" borderId="0" xfId="0" applyFont="1" applyFill="1" applyAlignment="1" applyProtection="1">
      <alignment vertical="top" wrapText="1"/>
    </xf>
    <xf numFmtId="49" fontId="39" fillId="0" borderId="0" xfId="0" applyNumberFormat="1" applyFont="1" applyAlignment="1" applyProtection="1">
      <alignment horizontal="right" vertical="center" wrapText="1"/>
    </xf>
    <xf numFmtId="49" fontId="25" fillId="0" borderId="0" xfId="0" applyNumberFormat="1" applyFont="1" applyAlignment="1" applyProtection="1">
      <alignment vertical="center"/>
    </xf>
    <xf numFmtId="0" fontId="24" fillId="5" borderId="39"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wrapText="1"/>
    </xf>
    <xf numFmtId="0" fontId="39" fillId="0" borderId="1" xfId="0" applyFont="1" applyBorder="1" applyAlignment="1" applyProtection="1">
      <alignment horizontal="right" vertical="center"/>
    </xf>
    <xf numFmtId="49" fontId="39" fillId="0" borderId="1" xfId="0" applyNumberFormat="1" applyFont="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4" fontId="39" fillId="14" borderId="1" xfId="0" applyNumberFormat="1" applyFont="1" applyFill="1" applyBorder="1" applyAlignment="1" applyProtection="1">
      <alignment horizontal="center" vertical="center"/>
    </xf>
    <xf numFmtId="2" fontId="39" fillId="14" borderId="1" xfId="0" applyNumberFormat="1" applyFont="1" applyFill="1" applyBorder="1" applyAlignment="1" applyProtection="1">
      <alignment horizontal="center" vertical="center"/>
    </xf>
    <xf numFmtId="10" fontId="24" fillId="3" borderId="1" xfId="0" applyNumberFormat="1" applyFont="1" applyFill="1" applyBorder="1" applyAlignment="1" applyProtection="1">
      <alignment horizontal="center" vertical="center" wrapText="1"/>
      <protection locked="0"/>
    </xf>
    <xf numFmtId="0" fontId="16" fillId="3" borderId="1" xfId="0" applyNumberFormat="1" applyFont="1" applyFill="1" applyBorder="1" applyAlignment="1" applyProtection="1">
      <alignment horizontal="left" vertical="center" wrapText="1"/>
      <protection locked="0"/>
    </xf>
    <xf numFmtId="0" fontId="24" fillId="0" borderId="1" xfId="0" applyFont="1" applyBorder="1" applyAlignment="1" applyProtection="1">
      <alignment horizontal="right" vertical="center"/>
    </xf>
    <xf numFmtId="0" fontId="25" fillId="15" borderId="1" xfId="0" applyFont="1" applyFill="1" applyBorder="1" applyAlignment="1" applyProtection="1">
      <alignment horizontal="right" vertical="center"/>
    </xf>
    <xf numFmtId="49" fontId="25" fillId="15" borderId="1" xfId="0" applyNumberFormat="1" applyFont="1" applyFill="1" applyBorder="1" applyAlignment="1" applyProtection="1">
      <alignment horizontal="left" vertical="center" wrapText="1"/>
    </xf>
    <xf numFmtId="0" fontId="25" fillId="3" borderId="1" xfId="0" applyFont="1" applyFill="1" applyBorder="1" applyAlignment="1" applyProtection="1">
      <alignment horizontal="right" vertical="center"/>
      <protection locked="0"/>
    </xf>
    <xf numFmtId="0" fontId="0" fillId="5" borderId="1" xfId="0" applyFill="1" applyBorder="1" applyAlignment="1" applyProtection="1">
      <alignment vertical="top"/>
    </xf>
    <xf numFmtId="0" fontId="0" fillId="5" borderId="1" xfId="0" applyFont="1" applyFill="1" applyBorder="1" applyAlignment="1" applyProtection="1">
      <alignment horizontal="center" vertical="top"/>
    </xf>
    <xf numFmtId="2" fontId="0" fillId="5" borderId="1" xfId="0" applyNumberFormat="1" applyFont="1" applyFill="1" applyBorder="1" applyAlignment="1" applyProtection="1">
      <alignment horizontal="center" vertical="center"/>
    </xf>
    <xf numFmtId="10" fontId="0" fillId="5" borderId="1" xfId="0" applyNumberFormat="1" applyFont="1" applyFill="1" applyBorder="1" applyAlignment="1" applyProtection="1">
      <alignment horizontal="center" vertical="center"/>
    </xf>
    <xf numFmtId="49" fontId="60" fillId="17" borderId="1" xfId="5" applyNumberFormat="1" applyFont="1" applyFill="1" applyBorder="1" applyAlignment="1" applyProtection="1">
      <alignment horizontal="right" vertical="center" wrapText="1"/>
    </xf>
    <xf numFmtId="4" fontId="60" fillId="17" borderId="1" xfId="5" applyNumberFormat="1" applyFont="1" applyFill="1" applyBorder="1" applyAlignment="1" applyProtection="1">
      <alignment vertical="top" wrapText="1"/>
    </xf>
    <xf numFmtId="4" fontId="76" fillId="17" borderId="1" xfId="5" applyNumberFormat="1" applyFont="1" applyFill="1" applyBorder="1" applyAlignment="1" applyProtection="1">
      <alignment horizontal="center" vertical="top" wrapText="1"/>
    </xf>
    <xf numFmtId="2" fontId="76" fillId="17" borderId="1" xfId="5" applyNumberFormat="1" applyFont="1" applyFill="1" applyBorder="1" applyAlignment="1" applyProtection="1">
      <alignment horizontal="center" vertical="center" wrapText="1"/>
    </xf>
    <xf numFmtId="10" fontId="76" fillId="17" borderId="1" xfId="5" applyNumberFormat="1" applyFont="1" applyFill="1" applyBorder="1" applyAlignment="1" applyProtection="1">
      <alignment horizontal="center" vertical="center" wrapText="1"/>
    </xf>
    <xf numFmtId="2" fontId="25" fillId="3" borderId="1" xfId="0" applyNumberFormat="1" applyFont="1" applyFill="1" applyBorder="1" applyAlignment="1" applyProtection="1">
      <alignment horizontal="center" vertical="center" wrapText="1"/>
      <protection locked="0"/>
    </xf>
    <xf numFmtId="10" fontId="25" fillId="3" borderId="1" xfId="0" applyNumberFormat="1" applyFont="1" applyFill="1" applyBorder="1" applyAlignment="1" applyProtection="1">
      <alignment horizontal="center" vertical="center" wrapText="1"/>
      <protection locked="0"/>
    </xf>
    <xf numFmtId="2" fontId="60" fillId="17" borderId="1" xfId="5" applyNumberFormat="1" applyFont="1" applyFill="1" applyBorder="1" applyAlignment="1" applyProtection="1">
      <alignment horizontal="center" vertical="center" wrapText="1"/>
    </xf>
    <xf numFmtId="10" fontId="60" fillId="17" borderId="1" xfId="5" applyNumberFormat="1" applyFont="1" applyFill="1" applyBorder="1" applyAlignment="1" applyProtection="1">
      <alignment horizontal="center" vertical="center" wrapText="1"/>
    </xf>
    <xf numFmtId="0" fontId="0" fillId="5" borderId="1" xfId="0" applyFont="1" applyFill="1" applyBorder="1" applyAlignment="1" applyProtection="1">
      <alignment vertical="top"/>
    </xf>
    <xf numFmtId="4" fontId="25" fillId="3" borderId="1" xfId="0" applyNumberFormat="1" applyFont="1" applyFill="1" applyBorder="1" applyAlignment="1" applyProtection="1">
      <alignment horizontal="center" vertical="center" wrapText="1"/>
      <protection locked="0"/>
    </xf>
    <xf numFmtId="4" fontId="67" fillId="17" borderId="1" xfId="5" applyNumberFormat="1" applyFont="1" applyFill="1" applyBorder="1" applyAlignment="1" applyProtection="1">
      <alignment vertical="top" wrapText="1"/>
    </xf>
    <xf numFmtId="2" fontId="67" fillId="17" borderId="1" xfId="5" applyNumberFormat="1" applyFont="1" applyFill="1" applyBorder="1" applyAlignment="1" applyProtection="1">
      <alignment horizontal="center" vertical="center" wrapText="1"/>
    </xf>
    <xf numFmtId="10" fontId="67" fillId="17" borderId="1" xfId="5" applyNumberFormat="1" applyFont="1" applyFill="1" applyBorder="1" applyAlignment="1" applyProtection="1">
      <alignment horizontal="center" vertical="center" wrapText="1"/>
    </xf>
    <xf numFmtId="16" fontId="24" fillId="0" borderId="1" xfId="0" applyNumberFormat="1" applyFont="1" applyBorder="1" applyAlignment="1" applyProtection="1">
      <alignment horizontal="right" vertical="center"/>
    </xf>
    <xf numFmtId="2" fontId="24" fillId="3" borderId="1" xfId="0" applyNumberFormat="1" applyFont="1" applyFill="1" applyBorder="1" applyAlignment="1" applyProtection="1">
      <alignment horizontal="center" vertical="center" wrapText="1"/>
      <protection locked="0"/>
    </xf>
    <xf numFmtId="16" fontId="25" fillId="0" borderId="1" xfId="0" applyNumberFormat="1" applyFont="1" applyBorder="1" applyAlignment="1" applyProtection="1">
      <alignment horizontal="right" vertical="center"/>
    </xf>
    <xf numFmtId="0" fontId="25" fillId="0" borderId="1" xfId="0" applyFont="1" applyBorder="1" applyAlignment="1" applyProtection="1">
      <alignment horizontal="right" vertical="center"/>
    </xf>
    <xf numFmtId="49" fontId="25" fillId="0" borderId="1" xfId="0" applyNumberFormat="1" applyFont="1" applyBorder="1" applyAlignment="1" applyProtection="1">
      <alignment horizontal="left" vertical="center" wrapText="1"/>
    </xf>
    <xf numFmtId="4" fontId="67" fillId="17" borderId="1" xfId="5" applyNumberFormat="1" applyFont="1" applyFill="1" applyBorder="1" applyAlignment="1" applyProtection="1">
      <alignment horizontal="center" vertical="top" wrapText="1"/>
    </xf>
    <xf numFmtId="0" fontId="0" fillId="5" borderId="1" xfId="0" applyFill="1" applyBorder="1" applyAlignment="1" applyProtection="1">
      <alignment horizontal="center" vertical="top"/>
    </xf>
    <xf numFmtId="2" fontId="0" fillId="5" borderId="1" xfId="0" applyNumberFormat="1" applyFill="1" applyBorder="1" applyAlignment="1" applyProtection="1">
      <alignment horizontal="center" vertical="center"/>
    </xf>
    <xf numFmtId="10" fontId="0" fillId="5" borderId="1" xfId="0" applyNumberFormat="1" applyFill="1" applyBorder="1" applyAlignment="1" applyProtection="1">
      <alignment horizontal="center" vertical="center"/>
    </xf>
    <xf numFmtId="4" fontId="24" fillId="3" borderId="1" xfId="0" applyNumberFormat="1" applyFont="1" applyFill="1" applyBorder="1" applyAlignment="1" applyProtection="1">
      <alignment horizontal="center" vertical="center" wrapText="1"/>
      <protection locked="0"/>
    </xf>
    <xf numFmtId="4" fontId="24" fillId="3" borderId="1" xfId="0" applyNumberFormat="1" applyFont="1" applyFill="1" applyBorder="1" applyAlignment="1" applyProtection="1">
      <alignment horizontal="left" vertical="center" wrapText="1"/>
      <protection locked="0"/>
    </xf>
    <xf numFmtId="14" fontId="25" fillId="15" borderId="1" xfId="0" applyNumberFormat="1" applyFont="1" applyFill="1" applyBorder="1" applyAlignment="1" applyProtection="1">
      <alignment horizontal="right" vertical="center"/>
    </xf>
    <xf numFmtId="4" fontId="25" fillId="3" borderId="1" xfId="0" applyNumberFormat="1" applyFont="1" applyFill="1" applyBorder="1" applyAlignment="1" applyProtection="1">
      <alignment horizontal="left" vertical="center" wrapText="1"/>
      <protection locked="0"/>
    </xf>
    <xf numFmtId="0" fontId="25" fillId="0" borderId="0" xfId="0" applyFont="1" applyBorder="1" applyAlignment="1" applyProtection="1">
      <alignment horizontal="right" vertical="center"/>
    </xf>
    <xf numFmtId="49" fontId="63" fillId="0" borderId="0" xfId="0" applyNumberFormat="1" applyFont="1" applyAlignment="1" applyProtection="1">
      <alignment vertical="center"/>
    </xf>
    <xf numFmtId="0" fontId="0" fillId="0" borderId="0" xfId="0" applyBorder="1" applyAlignment="1" applyProtection="1">
      <alignment horizontal="right" vertical="center"/>
    </xf>
    <xf numFmtId="49" fontId="41" fillId="0" borderId="0" xfId="0" applyNumberFormat="1" applyFont="1" applyBorder="1" applyAlignment="1" applyProtection="1">
      <alignment vertical="top"/>
    </xf>
    <xf numFmtId="49" fontId="39" fillId="0" borderId="0" xfId="0" applyNumberFormat="1" applyFont="1" applyAlignment="1" applyProtection="1">
      <alignment vertical="center"/>
    </xf>
    <xf numFmtId="49" fontId="39" fillId="0" borderId="0" xfId="0" applyNumberFormat="1" applyFont="1" applyAlignment="1" applyProtection="1">
      <alignment vertical="top"/>
    </xf>
    <xf numFmtId="0" fontId="25" fillId="0" borderId="0" xfId="0" applyFont="1" applyProtection="1"/>
    <xf numFmtId="0" fontId="25" fillId="0" borderId="0" xfId="0" applyFont="1" applyFill="1" applyAlignment="1" applyProtection="1">
      <alignment horizontal="right" vertical="top"/>
    </xf>
    <xf numFmtId="0" fontId="25" fillId="0" borderId="0" xfId="0" applyFont="1" applyBorder="1" applyAlignment="1" applyProtection="1">
      <alignment vertical="top"/>
    </xf>
    <xf numFmtId="0" fontId="78" fillId="0" borderId="0" xfId="0" applyFont="1" applyFill="1" applyAlignment="1" applyProtection="1">
      <alignment vertical="top"/>
    </xf>
    <xf numFmtId="0" fontId="42" fillId="5" borderId="1" xfId="11" applyFont="1" applyFill="1" applyBorder="1" applyProtection="1">
      <alignment horizontal="center" vertical="center" wrapText="1"/>
    </xf>
    <xf numFmtId="0" fontId="42" fillId="5" borderId="1" xfId="0" applyFont="1" applyFill="1" applyBorder="1" applyAlignment="1" applyProtection="1">
      <alignment horizontal="center" vertical="center" wrapText="1"/>
    </xf>
    <xf numFmtId="49" fontId="77" fillId="15" borderId="1" xfId="0" applyNumberFormat="1" applyFont="1" applyFill="1" applyBorder="1" applyAlignment="1" applyProtection="1">
      <alignment horizontal="center" vertical="center" wrapText="1"/>
    </xf>
    <xf numFmtId="0" fontId="77" fillId="15" borderId="1" xfId="0" applyFont="1" applyFill="1" applyBorder="1" applyAlignment="1" applyProtection="1">
      <alignment vertical="center" wrapText="1"/>
    </xf>
    <xf numFmtId="0" fontId="42" fillId="15" borderId="1" xfId="0" applyFont="1" applyFill="1" applyBorder="1" applyAlignment="1" applyProtection="1">
      <alignment horizontal="center" vertical="center" wrapText="1"/>
    </xf>
    <xf numFmtId="168" fontId="77" fillId="3" borderId="1" xfId="0" applyNumberFormat="1" applyFont="1" applyFill="1" applyBorder="1" applyAlignment="1" applyProtection="1">
      <alignment horizontal="center" vertical="center"/>
      <protection locked="0"/>
    </xf>
    <xf numFmtId="4" fontId="77" fillId="14" borderId="1" xfId="0" applyNumberFormat="1" applyFont="1" applyFill="1" applyBorder="1" applyAlignment="1" applyProtection="1">
      <alignment horizontal="center" vertical="center"/>
    </xf>
    <xf numFmtId="4" fontId="77" fillId="14" borderId="1" xfId="12" applyNumberFormat="1" applyFont="1" applyFill="1" applyBorder="1" applyAlignment="1" applyProtection="1">
      <alignment horizontal="center" vertical="center"/>
    </xf>
    <xf numFmtId="4" fontId="77" fillId="3" borderId="1" xfId="18" applyNumberFormat="1" applyFont="1" applyFill="1" applyBorder="1" applyAlignment="1" applyProtection="1">
      <alignment horizontal="center" vertical="center"/>
      <protection locked="0"/>
    </xf>
    <xf numFmtId="49" fontId="24"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center" vertical="center" wrapText="1"/>
    </xf>
    <xf numFmtId="4" fontId="24" fillId="3" borderId="1" xfId="18" applyNumberFormat="1" applyFont="1" applyFill="1" applyBorder="1" applyAlignment="1" applyProtection="1">
      <alignment horizontal="center" vertical="center"/>
      <protection locked="0"/>
    </xf>
    <xf numFmtId="4" fontId="24" fillId="14" borderId="1" xfId="12" applyNumberFormat="1" applyFont="1" applyFill="1" applyBorder="1" applyAlignment="1" applyProtection="1">
      <alignment horizontal="center" vertical="center"/>
    </xf>
    <xf numFmtId="4" fontId="16" fillId="3" borderId="1" xfId="18" applyNumberFormat="1" applyFont="1" applyFill="1" applyBorder="1" applyAlignment="1" applyProtection="1">
      <alignment horizontal="center" vertical="center"/>
      <protection locked="0"/>
    </xf>
    <xf numFmtId="49" fontId="25"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left" vertical="center" wrapText="1" indent="1"/>
    </xf>
    <xf numFmtId="0" fontId="25" fillId="0" borderId="1" xfId="0" applyFont="1" applyFill="1" applyBorder="1" applyAlignment="1" applyProtection="1">
      <alignment horizontal="center" vertical="center" wrapText="1"/>
    </xf>
    <xf numFmtId="4" fontId="25" fillId="3" borderId="1" xfId="18" applyNumberFormat="1" applyFont="1" applyFill="1" applyBorder="1" applyAlignment="1" applyProtection="1">
      <alignment horizontal="center" vertical="center"/>
      <protection locked="0"/>
    </xf>
    <xf numFmtId="4" fontId="25" fillId="14" borderId="1" xfId="12" applyNumberFormat="1" applyFont="1" applyFill="1" applyBorder="1" applyAlignment="1" applyProtection="1">
      <alignment horizontal="center" vertical="center"/>
    </xf>
    <xf numFmtId="49" fontId="16" fillId="0"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left" vertical="center" wrapText="1" indent="2"/>
    </xf>
    <xf numFmtId="0" fontId="16" fillId="0" borderId="1" xfId="0" applyFont="1" applyFill="1" applyBorder="1" applyAlignment="1" applyProtection="1">
      <alignment horizontal="center" vertical="center" wrapText="1"/>
    </xf>
    <xf numFmtId="4" fontId="16" fillId="5" borderId="1" xfId="12" applyNumberFormat="1" applyFont="1" applyFill="1" applyBorder="1" applyAlignment="1" applyProtection="1">
      <alignment horizontal="center" vertical="center"/>
    </xf>
    <xf numFmtId="4" fontId="16" fillId="14" borderId="1" xfId="12" applyNumberFormat="1" applyFont="1" applyFill="1" applyBorder="1" applyAlignment="1" applyProtection="1">
      <alignment horizontal="center" vertical="center"/>
    </xf>
    <xf numFmtId="0" fontId="16" fillId="0" borderId="1" xfId="0" applyFont="1" applyFill="1" applyBorder="1" applyAlignment="1" applyProtection="1">
      <alignment horizontal="left" vertical="center" wrapText="1" indent="4"/>
    </xf>
    <xf numFmtId="164" fontId="16" fillId="3" borderId="1" xfId="21" applyNumberFormat="1" applyFont="1" applyFill="1" applyBorder="1" applyAlignment="1" applyProtection="1">
      <alignment horizontal="center" vertical="center"/>
      <protection locked="0"/>
    </xf>
    <xf numFmtId="49" fontId="24" fillId="0" borderId="0" xfId="0" applyNumberFormat="1" applyFont="1" applyFill="1" applyBorder="1" applyAlignment="1" applyProtection="1">
      <alignment vertical="top" wrapText="1"/>
    </xf>
    <xf numFmtId="49" fontId="24" fillId="0" borderId="0" xfId="0" applyNumberFormat="1" applyFont="1" applyAlignment="1" applyProtection="1">
      <alignment vertical="top"/>
    </xf>
    <xf numFmtId="49" fontId="55" fillId="0" borderId="0" xfId="0" applyNumberFormat="1" applyFont="1" applyAlignment="1" applyProtection="1">
      <alignment vertical="top"/>
    </xf>
    <xf numFmtId="49" fontId="24" fillId="0" borderId="0" xfId="0" applyNumberFormat="1" applyFont="1" applyFill="1" applyBorder="1" applyAlignment="1" applyProtection="1">
      <alignment horizontal="left" vertical="top" wrapText="1"/>
    </xf>
    <xf numFmtId="49" fontId="33" fillId="0" borderId="0" xfId="0" applyNumberFormat="1" applyFont="1" applyAlignment="1" applyProtection="1">
      <alignment vertical="top"/>
    </xf>
    <xf numFmtId="0" fontId="17" fillId="0" borderId="0" xfId="26" applyFont="1" applyFill="1" applyAlignment="1" applyProtection="1">
      <alignment vertical="center"/>
    </xf>
    <xf numFmtId="0" fontId="21" fillId="0" borderId="0" xfId="26" applyFont="1" applyFill="1" applyAlignment="1" applyProtection="1">
      <alignment vertical="center"/>
    </xf>
    <xf numFmtId="0" fontId="79" fillId="0" borderId="0" xfId="26" applyFont="1" applyFill="1" applyAlignment="1" applyProtection="1">
      <alignment vertical="center"/>
    </xf>
    <xf numFmtId="0" fontId="79" fillId="0" borderId="0" xfId="26" applyFont="1" applyFill="1" applyAlignment="1" applyProtection="1">
      <alignment vertical="center" wrapText="1"/>
    </xf>
    <xf numFmtId="0" fontId="32" fillId="0" borderId="0" xfId="26" applyFont="1" applyFill="1" applyBorder="1" applyAlignment="1" applyProtection="1">
      <alignment vertical="center"/>
    </xf>
    <xf numFmtId="0" fontId="72" fillId="0" borderId="0" xfId="5" applyFont="1" applyFill="1" applyBorder="1" applyAlignment="1" applyProtection="1">
      <alignment vertical="center"/>
    </xf>
    <xf numFmtId="0" fontId="32" fillId="0" borderId="0" xfId="26" applyFont="1" applyFill="1" applyBorder="1" applyAlignment="1" applyProtection="1">
      <alignment horizontal="center" vertical="center"/>
    </xf>
    <xf numFmtId="0" fontId="32" fillId="0" borderId="0" xfId="26" applyFont="1" applyFill="1" applyBorder="1" applyAlignment="1" applyProtection="1">
      <alignment horizontal="center" vertical="center" wrapText="1"/>
    </xf>
    <xf numFmtId="0" fontId="32" fillId="0" borderId="0" xfId="26" applyFont="1" applyFill="1" applyAlignment="1" applyProtection="1">
      <alignment vertical="center"/>
    </xf>
    <xf numFmtId="0" fontId="32" fillId="0" borderId="0" xfId="9" applyFont="1" applyFill="1" applyAlignment="1" applyProtection="1">
      <alignment horizontal="left" vertical="center"/>
    </xf>
    <xf numFmtId="0" fontId="32" fillId="0" borderId="0" xfId="9" applyFont="1" applyFill="1" applyAlignment="1" applyProtection="1">
      <alignment vertical="center" wrapText="1"/>
    </xf>
    <xf numFmtId="0" fontId="32" fillId="0" borderId="0" xfId="9" applyFont="1" applyFill="1" applyAlignment="1" applyProtection="1">
      <alignment horizontal="left" vertical="center" wrapText="1"/>
    </xf>
    <xf numFmtId="0" fontId="33" fillId="0" borderId="0" xfId="9" applyFont="1" applyFill="1" applyBorder="1" applyAlignment="1" applyProtection="1">
      <alignment vertical="center" wrapText="1"/>
    </xf>
    <xf numFmtId="0" fontId="38" fillId="0" borderId="0" xfId="10" applyFont="1" applyFill="1" applyBorder="1" applyAlignment="1" applyProtection="1">
      <alignment horizontal="center" vertical="center" wrapText="1"/>
    </xf>
    <xf numFmtId="0" fontId="38" fillId="0" borderId="0" xfId="10" applyFont="1" applyFill="1" applyBorder="1" applyAlignment="1" applyProtection="1">
      <alignment vertical="center" wrapText="1"/>
    </xf>
    <xf numFmtId="0" fontId="33" fillId="0" borderId="0" xfId="10" applyFont="1" applyFill="1" applyBorder="1" applyAlignment="1" applyProtection="1">
      <alignment vertical="center" wrapText="1"/>
    </xf>
    <xf numFmtId="0" fontId="5" fillId="0" borderId="0" xfId="9" applyFont="1" applyFill="1" applyAlignment="1" applyProtection="1">
      <alignment vertical="center" wrapText="1"/>
    </xf>
    <xf numFmtId="0" fontId="16" fillId="0" borderId="0" xfId="10" applyFont="1" applyFill="1" applyBorder="1" applyAlignment="1" applyProtection="1">
      <alignment vertical="center" wrapText="1"/>
    </xf>
    <xf numFmtId="0" fontId="42" fillId="0" borderId="0" xfId="10" applyFont="1" applyFill="1" applyBorder="1" applyAlignment="1" applyProtection="1">
      <alignment vertical="center" wrapText="1"/>
    </xf>
    <xf numFmtId="0" fontId="16" fillId="0" borderId="0" xfId="9" applyFont="1" applyFill="1" applyAlignment="1" applyProtection="1">
      <alignment vertical="center" wrapText="1"/>
    </xf>
    <xf numFmtId="0" fontId="5" fillId="0" borderId="0" xfId="26" applyFont="1" applyFill="1" applyBorder="1" applyAlignment="1" applyProtection="1">
      <alignment vertical="center"/>
    </xf>
    <xf numFmtId="0" fontId="5" fillId="0" borderId="0" xfId="26" applyFont="1" applyFill="1" applyAlignment="1" applyProtection="1">
      <alignment vertical="center"/>
    </xf>
    <xf numFmtId="0" fontId="80" fillId="5" borderId="1" xfId="27" applyFont="1" applyFill="1" applyBorder="1" applyAlignment="1" applyProtection="1">
      <alignment horizontal="center" vertical="center" wrapText="1"/>
    </xf>
    <xf numFmtId="0" fontId="80" fillId="5" borderId="1" xfId="26" applyFont="1" applyFill="1" applyBorder="1" applyAlignment="1" applyProtection="1">
      <alignment horizontal="center" vertical="center" wrapText="1"/>
    </xf>
    <xf numFmtId="0" fontId="84" fillId="5" borderId="1" xfId="27" applyFont="1" applyFill="1" applyBorder="1" applyAlignment="1" applyProtection="1">
      <alignment horizontal="center" vertical="center" wrapText="1"/>
    </xf>
    <xf numFmtId="0" fontId="84" fillId="5" borderId="1" xfId="26" applyFont="1" applyFill="1" applyBorder="1" applyAlignment="1" applyProtection="1">
      <alignment horizontal="center" vertical="center" wrapText="1"/>
    </xf>
    <xf numFmtId="0" fontId="17" fillId="0" borderId="0" xfId="26" applyFont="1" applyFill="1" applyBorder="1" applyAlignment="1" applyProtection="1">
      <alignment vertical="center"/>
    </xf>
    <xf numFmtId="0" fontId="13" fillId="0" borderId="1" xfId="26" applyFont="1" applyFill="1" applyBorder="1" applyAlignment="1" applyProtection="1">
      <alignment vertical="center" wrapText="1"/>
    </xf>
    <xf numFmtId="14" fontId="16" fillId="16" borderId="1" xfId="26" applyNumberFormat="1" applyFont="1" applyFill="1" applyBorder="1" applyAlignment="1" applyProtection="1">
      <alignment vertical="center" wrapText="1"/>
      <protection locked="0"/>
    </xf>
    <xf numFmtId="14" fontId="16" fillId="3" borderId="1" xfId="26" applyNumberFormat="1" applyFont="1" applyFill="1" applyBorder="1" applyAlignment="1" applyProtection="1">
      <alignment vertical="center" wrapText="1"/>
      <protection locked="0"/>
    </xf>
    <xf numFmtId="0" fontId="16" fillId="3" borderId="1" xfId="26" applyFont="1" applyFill="1" applyBorder="1" applyAlignment="1" applyProtection="1">
      <alignment horizontal="left" vertical="center" wrapText="1"/>
      <protection locked="0"/>
    </xf>
    <xf numFmtId="14" fontId="16" fillId="3" borderId="1" xfId="26" applyNumberFormat="1" applyFont="1" applyFill="1" applyBorder="1" applyAlignment="1" applyProtection="1">
      <alignment horizontal="center" vertical="center" wrapText="1"/>
      <protection locked="0"/>
    </xf>
    <xf numFmtId="14" fontId="16" fillId="3" borderId="1" xfId="26" applyNumberFormat="1" applyFont="1" applyFill="1" applyBorder="1" applyAlignment="1" applyProtection="1">
      <alignment horizontal="left" vertical="center" wrapText="1"/>
      <protection locked="0"/>
    </xf>
    <xf numFmtId="0" fontId="16" fillId="3" borderId="1" xfId="28" applyFont="1" applyFill="1" applyBorder="1" applyAlignment="1" applyProtection="1">
      <alignment horizontal="left" vertical="center" wrapText="1"/>
      <protection locked="0"/>
    </xf>
    <xf numFmtId="4" fontId="16" fillId="3" borderId="1" xfId="26" applyNumberFormat="1" applyFont="1" applyFill="1" applyBorder="1" applyAlignment="1" applyProtection="1">
      <alignment vertical="center" wrapText="1"/>
      <protection locked="0"/>
    </xf>
    <xf numFmtId="4" fontId="13" fillId="5" borderId="1" xfId="26" applyNumberFormat="1" applyFont="1" applyFill="1" applyBorder="1" applyAlignment="1" applyProtection="1">
      <alignment vertical="center" wrapText="1"/>
    </xf>
    <xf numFmtId="2" fontId="13" fillId="3" borderId="1" xfId="26" applyNumberFormat="1" applyFont="1" applyFill="1" applyBorder="1" applyAlignment="1" applyProtection="1">
      <alignment vertical="center" wrapText="1"/>
      <protection locked="0"/>
    </xf>
    <xf numFmtId="2" fontId="13" fillId="14" borderId="1" xfId="26" applyNumberFormat="1" applyFont="1" applyFill="1" applyBorder="1" applyAlignment="1" applyProtection="1">
      <alignment vertical="center" wrapText="1"/>
    </xf>
    <xf numFmtId="4" fontId="13" fillId="14" borderId="1" xfId="26" applyNumberFormat="1" applyFont="1" applyFill="1" applyBorder="1" applyAlignment="1">
      <alignment vertical="center"/>
    </xf>
    <xf numFmtId="2" fontId="13" fillId="3" borderId="1" xfId="26" applyNumberFormat="1" applyFont="1" applyFill="1" applyBorder="1" applyAlignment="1" applyProtection="1">
      <alignment vertical="center"/>
      <protection locked="0"/>
    </xf>
    <xf numFmtId="169" fontId="13" fillId="14" borderId="1" xfId="21" applyNumberFormat="1" applyFont="1" applyFill="1" applyBorder="1" applyAlignment="1" applyProtection="1">
      <alignment vertical="center"/>
    </xf>
    <xf numFmtId="14" fontId="13" fillId="3" borderId="1" xfId="26" applyNumberFormat="1" applyFont="1" applyFill="1" applyBorder="1" applyAlignment="1" applyProtection="1">
      <alignment vertical="center" wrapText="1"/>
      <protection locked="0"/>
    </xf>
    <xf numFmtId="0" fontId="13" fillId="3" borderId="1" xfId="26" applyFont="1" applyFill="1" applyBorder="1" applyAlignment="1" applyProtection="1">
      <alignment vertical="center" wrapText="1"/>
      <protection locked="0"/>
    </xf>
    <xf numFmtId="0" fontId="13" fillId="3" borderId="1" xfId="26" applyNumberFormat="1" applyFont="1" applyFill="1" applyBorder="1" applyAlignment="1" applyProtection="1">
      <alignment horizontal="left" vertical="center" wrapText="1"/>
      <protection locked="0"/>
    </xf>
    <xf numFmtId="14" fontId="16" fillId="3" borderId="1" xfId="28" applyNumberFormat="1" applyFont="1" applyFill="1" applyBorder="1" applyAlignment="1" applyProtection="1">
      <alignment horizontal="center" vertical="center" wrapText="1"/>
      <protection locked="0"/>
    </xf>
    <xf numFmtId="14" fontId="16" fillId="3" borderId="1" xfId="28" applyNumberFormat="1" applyFont="1" applyFill="1" applyBorder="1" applyAlignment="1" applyProtection="1">
      <alignment horizontal="left" vertical="center" wrapText="1"/>
      <protection locked="0"/>
    </xf>
    <xf numFmtId="0" fontId="16" fillId="3" borderId="1" xfId="26" applyFont="1" applyFill="1" applyBorder="1" applyAlignment="1" applyProtection="1">
      <alignment vertical="center" wrapText="1"/>
      <protection locked="0"/>
    </xf>
    <xf numFmtId="0" fontId="60" fillId="17" borderId="1" xfId="5" applyNumberFormat="1" applyFont="1" applyFill="1" applyBorder="1" applyAlignment="1" applyProtection="1">
      <alignment horizontal="right" vertical="center" wrapText="1"/>
    </xf>
    <xf numFmtId="0" fontId="42" fillId="0" borderId="1" xfId="26" applyFont="1" applyFill="1" applyBorder="1" applyAlignment="1" applyProtection="1">
      <alignment horizontal="center" vertical="center" wrapText="1"/>
    </xf>
    <xf numFmtId="4" fontId="42" fillId="14" borderId="1" xfId="26" applyNumberFormat="1" applyFont="1" applyFill="1" applyBorder="1" applyAlignment="1" applyProtection="1">
      <alignment horizontal="center" vertical="center" wrapText="1"/>
    </xf>
    <xf numFmtId="4" fontId="42" fillId="3" borderId="1" xfId="26" applyNumberFormat="1" applyFont="1" applyFill="1" applyBorder="1" applyAlignment="1" applyProtection="1">
      <alignment horizontal="center" vertical="center" wrapText="1"/>
      <protection locked="0"/>
    </xf>
    <xf numFmtId="2" fontId="42" fillId="14" borderId="1" xfId="26" applyNumberFormat="1" applyFont="1" applyFill="1" applyBorder="1" applyAlignment="1" applyProtection="1">
      <alignment horizontal="center" vertical="center" wrapText="1"/>
    </xf>
    <xf numFmtId="4" fontId="42" fillId="14" borderId="1" xfId="26" applyNumberFormat="1" applyFont="1" applyFill="1" applyBorder="1" applyAlignment="1">
      <alignment horizontal="center" vertical="center" wrapText="1"/>
    </xf>
    <xf numFmtId="9" fontId="85" fillId="14" borderId="1" xfId="21" applyFont="1" applyFill="1" applyBorder="1" applyAlignment="1" applyProtection="1">
      <alignment vertical="center"/>
    </xf>
    <xf numFmtId="0" fontId="42" fillId="5" borderId="1" xfId="26" applyFont="1" applyFill="1" applyBorder="1" applyAlignment="1">
      <alignment horizontal="center" vertical="center" wrapText="1"/>
    </xf>
    <xf numFmtId="0" fontId="42" fillId="0" borderId="1" xfId="26" applyNumberFormat="1" applyFont="1" applyFill="1" applyBorder="1" applyAlignment="1" applyProtection="1">
      <alignment horizontal="left" vertical="center" wrapText="1"/>
    </xf>
    <xf numFmtId="0" fontId="86" fillId="0" borderId="0" xfId="26" applyFont="1" applyFill="1" applyAlignment="1" applyProtection="1">
      <alignment vertical="center"/>
    </xf>
    <xf numFmtId="0" fontId="17" fillId="0" borderId="0" xfId="26" applyFont="1" applyFill="1" applyAlignment="1" applyProtection="1">
      <alignment vertical="center" wrapText="1"/>
    </xf>
    <xf numFmtId="0" fontId="13" fillId="0" borderId="0" xfId="26" applyFont="1" applyFill="1" applyAlignment="1" applyProtection="1">
      <alignment vertical="center"/>
    </xf>
    <xf numFmtId="0" fontId="17" fillId="0" borderId="0" xfId="26" applyFont="1" applyFill="1" applyAlignment="1" applyProtection="1"/>
    <xf numFmtId="0" fontId="17" fillId="0" borderId="0" xfId="26" applyFont="1" applyFill="1" applyAlignment="1" applyProtection="1">
      <alignment wrapText="1"/>
    </xf>
    <xf numFmtId="0" fontId="87" fillId="0" borderId="0" xfId="26" applyFont="1" applyFill="1" applyAlignment="1" applyProtection="1"/>
    <xf numFmtId="0" fontId="72" fillId="0" borderId="0" xfId="5" applyFont="1" applyFill="1" applyAlignment="1" applyProtection="1">
      <alignment vertical="center"/>
    </xf>
    <xf numFmtId="0" fontId="23" fillId="0" borderId="0" xfId="10" applyFont="1" applyFill="1" applyBorder="1" applyAlignment="1" applyProtection="1">
      <alignment vertical="center" wrapText="1"/>
    </xf>
    <xf numFmtId="0" fontId="90" fillId="0" borderId="0" xfId="0" applyFont="1" applyProtection="1"/>
    <xf numFmtId="0" fontId="80" fillId="5" borderId="1" xfId="27" applyFont="1" applyFill="1" applyBorder="1" applyAlignment="1">
      <alignment horizontal="center" vertical="center" wrapText="1"/>
    </xf>
    <xf numFmtId="14" fontId="13" fillId="16" borderId="1" xfId="26" applyNumberFormat="1" applyFont="1" applyFill="1" applyBorder="1" applyAlignment="1" applyProtection="1">
      <alignment vertical="center" wrapText="1"/>
      <protection locked="0"/>
    </xf>
    <xf numFmtId="2" fontId="13" fillId="5" borderId="1" xfId="26" applyNumberFormat="1" applyFont="1" applyFill="1" applyBorder="1" applyAlignment="1" applyProtection="1">
      <alignment vertical="center" wrapText="1"/>
    </xf>
    <xf numFmtId="2" fontId="16" fillId="3" borderId="1" xfId="26" applyNumberFormat="1" applyFont="1" applyFill="1" applyBorder="1" applyAlignment="1" applyProtection="1">
      <alignment vertical="center" wrapText="1"/>
      <protection locked="0"/>
    </xf>
    <xf numFmtId="2" fontId="16" fillId="3" borderId="1" xfId="26" applyNumberFormat="1" applyFont="1" applyFill="1" applyBorder="1" applyAlignment="1" applyProtection="1">
      <alignment vertical="center"/>
      <protection locked="0"/>
    </xf>
    <xf numFmtId="14" fontId="91" fillId="3" borderId="1" xfId="26" applyNumberFormat="1" applyFont="1" applyFill="1" applyBorder="1" applyAlignment="1" applyProtection="1">
      <alignment vertical="center" wrapText="1"/>
      <protection locked="0"/>
    </xf>
    <xf numFmtId="0" fontId="91" fillId="3" borderId="1" xfId="26" applyFont="1" applyFill="1" applyBorder="1" applyAlignment="1" applyProtection="1">
      <alignment vertical="center" wrapText="1"/>
      <protection locked="0"/>
    </xf>
    <xf numFmtId="0" fontId="13" fillId="3" borderId="1" xfId="26" applyNumberFormat="1" applyFont="1" applyFill="1" applyBorder="1" applyAlignment="1" applyProtection="1">
      <alignment vertical="center" wrapText="1"/>
      <protection locked="0"/>
    </xf>
    <xf numFmtId="10" fontId="60" fillId="17" borderId="1" xfId="5" applyNumberFormat="1" applyFont="1" applyFill="1" applyBorder="1" applyAlignment="1" applyProtection="1">
      <alignment horizontal="right" vertical="center" wrapText="1"/>
    </xf>
    <xf numFmtId="0" fontId="60" fillId="17" borderId="1" xfId="5" applyNumberFormat="1" applyFont="1" applyFill="1" applyBorder="1" applyAlignment="1" applyProtection="1">
      <alignment vertical="top" wrapText="1"/>
    </xf>
    <xf numFmtId="2" fontId="42" fillId="3" borderId="1" xfId="26" applyNumberFormat="1" applyFont="1" applyFill="1" applyBorder="1" applyAlignment="1" applyProtection="1">
      <alignment horizontal="center" vertical="center" wrapText="1"/>
      <protection locked="0"/>
    </xf>
    <xf numFmtId="10" fontId="85" fillId="14" borderId="1" xfId="21" applyNumberFormat="1" applyFont="1" applyFill="1" applyBorder="1" applyAlignment="1" applyProtection="1">
      <alignment vertical="center"/>
    </xf>
    <xf numFmtId="4" fontId="42" fillId="5" borderId="1" xfId="26" applyNumberFormat="1" applyFont="1" applyFill="1" applyBorder="1" applyAlignment="1" applyProtection="1">
      <alignment horizontal="center" vertical="center" wrapText="1"/>
    </xf>
    <xf numFmtId="0" fontId="33" fillId="0" borderId="0" xfId="26" applyFont="1" applyFill="1" applyBorder="1" applyAlignment="1" applyProtection="1">
      <alignment horizontal="center" vertical="center" wrapText="1"/>
    </xf>
    <xf numFmtId="0" fontId="16" fillId="0" borderId="0" xfId="0" applyFont="1" applyFill="1" applyAlignment="1" applyProtection="1">
      <alignment vertical="top"/>
    </xf>
    <xf numFmtId="0" fontId="87" fillId="0" borderId="0" xfId="26" applyFont="1" applyFill="1" applyAlignment="1" applyProtection="1">
      <alignment vertical="center"/>
    </xf>
    <xf numFmtId="0" fontId="92" fillId="0" borderId="0" xfId="28" applyFont="1" applyFill="1" applyAlignment="1" applyProtection="1">
      <alignment vertical="center"/>
    </xf>
    <xf numFmtId="49" fontId="55" fillId="0" borderId="0" xfId="26" applyNumberFormat="1" applyFont="1" applyFill="1" applyAlignment="1" applyProtection="1">
      <alignment vertical="top"/>
    </xf>
    <xf numFmtId="49" fontId="38" fillId="0" borderId="0" xfId="0" applyNumberFormat="1" applyFont="1" applyFill="1" applyAlignment="1" applyProtection="1">
      <alignment vertical="top"/>
    </xf>
    <xf numFmtId="0" fontId="17" fillId="0" borderId="0" xfId="26" applyNumberFormat="1" applyFont="1" applyFill="1" applyAlignment="1" applyProtection="1">
      <alignment vertical="center"/>
    </xf>
    <xf numFmtId="0" fontId="65" fillId="0" borderId="0" xfId="5" applyNumberFormat="1" applyFont="1" applyFill="1" applyAlignment="1" applyProtection="1">
      <alignment horizontal="left" vertical="center"/>
    </xf>
    <xf numFmtId="0" fontId="65" fillId="0" borderId="0" xfId="5" applyFont="1" applyFill="1" applyAlignment="1" applyProtection="1">
      <alignment horizontal="left" vertical="center"/>
    </xf>
    <xf numFmtId="0" fontId="93" fillId="0" borderId="0" xfId="10" applyFont="1" applyFill="1" applyBorder="1" applyAlignment="1" applyProtection="1">
      <alignment vertical="center" wrapText="1"/>
    </xf>
    <xf numFmtId="0" fontId="16" fillId="0" borderId="0" xfId="10" applyNumberFormat="1" applyFont="1" applyFill="1" applyBorder="1" applyAlignment="1" applyProtection="1">
      <alignment vertical="center" wrapText="1"/>
    </xf>
    <xf numFmtId="0" fontId="84" fillId="5" borderId="1" xfId="27" applyNumberFormat="1" applyFont="1" applyFill="1" applyBorder="1" applyAlignment="1" applyProtection="1">
      <alignment horizontal="center" vertical="center" wrapText="1"/>
    </xf>
    <xf numFmtId="0" fontId="17" fillId="0" borderId="0" xfId="26" applyFont="1" applyFill="1" applyAlignment="1" applyProtection="1">
      <alignment vertical="top"/>
    </xf>
    <xf numFmtId="0" fontId="13" fillId="3" borderId="1" xfId="26" applyFont="1" applyFill="1" applyBorder="1" applyAlignment="1" applyProtection="1">
      <alignment vertical="top" wrapText="1"/>
      <protection locked="0"/>
    </xf>
    <xf numFmtId="14" fontId="13" fillId="3" borderId="1" xfId="26" applyNumberFormat="1" applyFont="1" applyFill="1" applyBorder="1" applyAlignment="1" applyProtection="1">
      <alignment vertical="top" wrapText="1"/>
      <protection locked="0"/>
    </xf>
    <xf numFmtId="0" fontId="13" fillId="3" borderId="1" xfId="26" applyNumberFormat="1" applyFont="1" applyFill="1" applyBorder="1" applyAlignment="1" applyProtection="1">
      <alignment vertical="top" wrapText="1"/>
      <protection locked="0"/>
    </xf>
    <xf numFmtId="2" fontId="13" fillId="3" borderId="1" xfId="26" applyNumberFormat="1" applyFont="1" applyFill="1" applyBorder="1" applyAlignment="1" applyProtection="1">
      <alignment vertical="top" wrapText="1"/>
      <protection locked="0"/>
    </xf>
    <xf numFmtId="2" fontId="70" fillId="5" borderId="1" xfId="26" applyNumberFormat="1" applyFont="1" applyFill="1" applyBorder="1" applyAlignment="1" applyProtection="1">
      <alignment horizontal="center" vertical="center" wrapText="1"/>
    </xf>
    <xf numFmtId="14" fontId="13" fillId="3" borderId="1" xfId="28" applyNumberFormat="1" applyFont="1" applyFill="1" applyBorder="1" applyAlignment="1" applyProtection="1">
      <alignment vertical="center" wrapText="1"/>
      <protection locked="0"/>
    </xf>
    <xf numFmtId="14" fontId="13" fillId="3" borderId="1" xfId="26" applyNumberFormat="1" applyFont="1" applyFill="1" applyBorder="1" applyAlignment="1" applyProtection="1">
      <alignment horizontal="right" vertical="center" wrapText="1"/>
      <protection locked="0"/>
    </xf>
    <xf numFmtId="2" fontId="94" fillId="17" borderId="1" xfId="5" applyNumberFormat="1" applyFont="1" applyFill="1" applyBorder="1" applyAlignment="1" applyProtection="1">
      <alignment vertical="top" wrapText="1"/>
    </xf>
    <xf numFmtId="2" fontId="69" fillId="3" borderId="1" xfId="26" applyNumberFormat="1" applyFont="1" applyFill="1" applyBorder="1" applyAlignment="1" applyProtection="1">
      <alignment vertical="center" wrapText="1"/>
      <protection locked="0"/>
    </xf>
    <xf numFmtId="0" fontId="38" fillId="0" borderId="0" xfId="0" applyNumberFormat="1" applyFont="1" applyFill="1" applyAlignment="1" applyProtection="1">
      <alignment vertical="top"/>
    </xf>
    <xf numFmtId="0" fontId="0" fillId="0" borderId="0" xfId="0" applyNumberFormat="1" applyProtection="1"/>
    <xf numFmtId="0" fontId="13" fillId="0" borderId="0" xfId="26" applyNumberFormat="1" applyFont="1" applyFill="1" applyAlignment="1" applyProtection="1">
      <alignment vertical="center"/>
    </xf>
    <xf numFmtId="0" fontId="95" fillId="0" borderId="0" xfId="26" applyFont="1" applyFill="1" applyAlignment="1" applyProtection="1">
      <alignment vertical="center"/>
    </xf>
    <xf numFmtId="0" fontId="19" fillId="0" borderId="0" xfId="5" applyNumberFormat="1" applyFont="1" applyFill="1" applyAlignment="1" applyProtection="1">
      <alignment vertical="center"/>
    </xf>
    <xf numFmtId="0" fontId="19" fillId="0" borderId="0" xfId="5" applyFont="1" applyFill="1" applyAlignment="1" applyProtection="1">
      <alignment vertical="center"/>
    </xf>
    <xf numFmtId="0" fontId="80" fillId="5" borderId="39" xfId="26"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96" fillId="5" borderId="1" xfId="27" applyFont="1" applyFill="1" applyBorder="1" applyAlignment="1" applyProtection="1">
      <alignment horizontal="center" vertical="center" wrapText="1"/>
    </xf>
    <xf numFmtId="0" fontId="96" fillId="5" borderId="1" xfId="26" applyNumberFormat="1" applyFont="1" applyFill="1" applyBorder="1" applyAlignment="1" applyProtection="1">
      <alignment horizontal="center" vertical="center" wrapText="1"/>
    </xf>
    <xf numFmtId="0" fontId="96" fillId="5" borderId="1" xfId="26" applyFont="1" applyFill="1" applyBorder="1" applyAlignment="1" applyProtection="1">
      <alignment horizontal="center" vertical="center" wrapText="1"/>
    </xf>
    <xf numFmtId="0" fontId="70" fillId="3" borderId="1" xfId="26" applyFont="1" applyFill="1" applyBorder="1" applyAlignment="1" applyProtection="1">
      <alignment vertical="top" wrapText="1"/>
      <protection locked="0"/>
    </xf>
    <xf numFmtId="0" fontId="70" fillId="3" borderId="1" xfId="26" applyNumberFormat="1" applyFont="1" applyFill="1" applyBorder="1" applyAlignment="1" applyProtection="1">
      <alignment vertical="top" wrapText="1"/>
      <protection locked="0"/>
    </xf>
    <xf numFmtId="14" fontId="70" fillId="3" borderId="1" xfId="26" applyNumberFormat="1" applyFont="1" applyFill="1" applyBorder="1" applyAlignment="1" applyProtection="1">
      <alignment vertical="top" wrapText="1"/>
      <protection locked="0"/>
    </xf>
    <xf numFmtId="2" fontId="70" fillId="3" borderId="1" xfId="26" applyNumberFormat="1" applyFont="1" applyFill="1" applyBorder="1" applyAlignment="1" applyProtection="1">
      <alignment vertical="top" wrapText="1"/>
      <protection locked="0"/>
    </xf>
    <xf numFmtId="49" fontId="94" fillId="17" borderId="1" xfId="5" applyNumberFormat="1" applyFont="1" applyFill="1" applyBorder="1" applyAlignment="1" applyProtection="1">
      <alignment horizontal="right" vertical="center" wrapText="1"/>
    </xf>
    <xf numFmtId="0" fontId="94" fillId="17" borderId="1" xfId="5" applyNumberFormat="1" applyFont="1" applyFill="1" applyBorder="1" applyAlignment="1" applyProtection="1">
      <alignment horizontal="right" vertical="center" wrapText="1"/>
    </xf>
    <xf numFmtId="49" fontId="94" fillId="17" borderId="1" xfId="5" applyNumberFormat="1" applyFont="1" applyFill="1" applyBorder="1" applyAlignment="1" applyProtection="1">
      <alignment vertical="top" wrapText="1"/>
    </xf>
    <xf numFmtId="0" fontId="24" fillId="5" borderId="1" xfId="26" applyFont="1" applyFill="1" applyBorder="1" applyAlignment="1" applyProtection="1">
      <alignment horizontal="center" vertical="center" wrapText="1"/>
    </xf>
    <xf numFmtId="0" fontId="24" fillId="0" borderId="1" xfId="26" applyFont="1" applyFill="1" applyBorder="1" applyAlignment="1" applyProtection="1">
      <alignment horizontal="center" vertical="center" wrapText="1"/>
    </xf>
    <xf numFmtId="0" fontId="24" fillId="5" borderId="1" xfId="26" applyNumberFormat="1" applyFont="1" applyFill="1" applyBorder="1" applyAlignment="1" applyProtection="1">
      <alignment horizontal="center" vertical="center" wrapText="1"/>
    </xf>
    <xf numFmtId="0" fontId="70" fillId="0" borderId="0" xfId="26" applyFont="1" applyFill="1" applyAlignment="1" applyProtection="1">
      <alignment vertical="center"/>
    </xf>
    <xf numFmtId="0" fontId="70" fillId="0" borderId="0" xfId="26" applyNumberFormat="1" applyFont="1" applyFill="1" applyAlignment="1" applyProtection="1">
      <alignment vertical="center"/>
    </xf>
    <xf numFmtId="0" fontId="24" fillId="0" borderId="0" xfId="0" applyNumberFormat="1" applyFont="1" applyFill="1" applyBorder="1" applyAlignment="1" applyProtection="1">
      <alignment vertical="top" wrapText="1"/>
    </xf>
    <xf numFmtId="49" fontId="24" fillId="0" borderId="0" xfId="0" applyNumberFormat="1" applyFont="1" applyFill="1" applyAlignment="1" applyProtection="1">
      <alignment vertical="top"/>
    </xf>
    <xf numFmtId="49" fontId="55" fillId="0" borderId="0" xfId="26" applyNumberFormat="1" applyFont="1" applyFill="1" applyAlignment="1" applyProtection="1">
      <alignment vertical="center"/>
    </xf>
    <xf numFmtId="0" fontId="97" fillId="0" borderId="0" xfId="26" applyFont="1" applyFill="1" applyAlignment="1" applyProtection="1">
      <alignment vertical="center"/>
    </xf>
    <xf numFmtId="0" fontId="7" fillId="0" borderId="0" xfId="0" applyFont="1" applyProtection="1"/>
    <xf numFmtId="0" fontId="24" fillId="0" borderId="0" xfId="0" applyNumberFormat="1" applyFont="1" applyFill="1" applyAlignment="1" applyProtection="1">
      <alignment vertical="top"/>
    </xf>
    <xf numFmtId="0" fontId="86" fillId="0" borderId="0" xfId="26" applyFont="1" applyFill="1" applyAlignment="1" applyProtection="1">
      <alignment vertical="center"/>
      <protection locked="0"/>
    </xf>
    <xf numFmtId="0" fontId="17" fillId="0" borderId="0" xfId="29" applyFont="1" applyFill="1" applyAlignment="1" applyProtection="1">
      <alignment vertical="center"/>
    </xf>
    <xf numFmtId="0" fontId="65" fillId="0" borderId="0" xfId="5" applyFont="1" applyFill="1" applyAlignment="1" applyProtection="1">
      <alignment vertical="center"/>
    </xf>
    <xf numFmtId="0" fontId="79" fillId="0" borderId="0" xfId="29" applyFont="1" applyFill="1" applyAlignment="1" applyProtection="1">
      <alignment vertical="center"/>
    </xf>
    <xf numFmtId="0" fontId="32" fillId="0" borderId="0" xfId="29" applyFont="1" applyFill="1" applyAlignment="1" applyProtection="1">
      <alignment vertical="center"/>
    </xf>
    <xf numFmtId="0" fontId="32" fillId="0" borderId="0" xfId="29" applyFont="1" applyFill="1" applyBorder="1" applyAlignment="1" applyProtection="1">
      <alignment vertical="center"/>
    </xf>
    <xf numFmtId="0" fontId="32" fillId="0" borderId="0" xfId="29" applyFont="1" applyFill="1" applyBorder="1" applyAlignment="1" applyProtection="1">
      <alignment horizontal="center" vertical="center"/>
    </xf>
    <xf numFmtId="0" fontId="5" fillId="0" borderId="0" xfId="29" applyFont="1" applyFill="1" applyAlignment="1" applyProtection="1">
      <alignment vertical="center"/>
    </xf>
    <xf numFmtId="2" fontId="42" fillId="5" borderId="1" xfId="27" applyNumberFormat="1" applyFont="1" applyFill="1" applyBorder="1" applyAlignment="1" applyProtection="1">
      <alignment horizontal="center" vertical="center" wrapText="1"/>
    </xf>
    <xf numFmtId="1" fontId="16" fillId="5" borderId="1" xfId="27" applyNumberFormat="1" applyFont="1" applyFill="1" applyBorder="1" applyAlignment="1" applyProtection="1">
      <alignment horizontal="center" vertical="center" wrapText="1"/>
    </xf>
    <xf numFmtId="0" fontId="16" fillId="5" borderId="1" xfId="27" applyFont="1" applyFill="1" applyBorder="1" applyAlignment="1" applyProtection="1">
      <alignment horizontal="center" vertical="center" wrapText="1"/>
    </xf>
    <xf numFmtId="2" fontId="42" fillId="0" borderId="1" xfId="5" applyNumberFormat="1" applyFont="1" applyFill="1" applyBorder="1" applyAlignment="1" applyProtection="1">
      <alignment vertical="center" wrapText="1"/>
    </xf>
    <xf numFmtId="2" fontId="85" fillId="0" borderId="1" xfId="26" applyNumberFormat="1" applyFont="1" applyFill="1" applyBorder="1" applyAlignment="1" applyProtection="1">
      <alignment vertical="center" wrapText="1"/>
    </xf>
    <xf numFmtId="2" fontId="98" fillId="5" borderId="1" xfId="5" applyNumberFormat="1" applyFont="1" applyFill="1" applyBorder="1" applyAlignment="1" applyProtection="1">
      <alignment vertical="center" wrapText="1"/>
    </xf>
    <xf numFmtId="14" fontId="98" fillId="5" borderId="1" xfId="5" applyNumberFormat="1" applyFont="1" applyFill="1" applyBorder="1" applyAlignment="1" applyProtection="1">
      <alignment vertical="center" wrapText="1"/>
    </xf>
    <xf numFmtId="2" fontId="85" fillId="14" borderId="1" xfId="29" applyNumberFormat="1" applyFont="1" applyFill="1" applyBorder="1" applyAlignment="1" applyProtection="1">
      <alignment horizontal="center" vertical="center"/>
    </xf>
    <xf numFmtId="2" fontId="13" fillId="3" borderId="1" xfId="29" applyNumberFormat="1" applyFont="1" applyFill="1" applyBorder="1" applyAlignment="1" applyProtection="1">
      <alignment vertical="center" wrapText="1"/>
      <protection locked="0"/>
    </xf>
    <xf numFmtId="10" fontId="13" fillId="3" borderId="1" xfId="29" applyNumberFormat="1" applyFont="1" applyFill="1" applyBorder="1" applyAlignment="1" applyProtection="1">
      <alignment horizontal="center" vertical="center" wrapText="1"/>
      <protection locked="0"/>
    </xf>
    <xf numFmtId="0" fontId="13" fillId="3" borderId="1" xfId="29" applyNumberFormat="1" applyFont="1" applyFill="1" applyBorder="1" applyAlignment="1" applyProtection="1">
      <alignment vertical="center" wrapText="1"/>
      <protection locked="0"/>
    </xf>
    <xf numFmtId="2" fontId="16" fillId="0" borderId="1" xfId="5" applyNumberFormat="1" applyFont="1" applyFill="1" applyBorder="1" applyAlignment="1" applyProtection="1">
      <alignment vertical="center" wrapText="1"/>
    </xf>
    <xf numFmtId="2" fontId="13" fillId="0" borderId="1" xfId="26" applyNumberFormat="1" applyFont="1" applyFill="1" applyBorder="1" applyAlignment="1" applyProtection="1">
      <alignment vertical="center" wrapText="1"/>
    </xf>
    <xf numFmtId="2" fontId="99" fillId="5" borderId="1" xfId="5" applyNumberFormat="1" applyFont="1" applyFill="1" applyBorder="1" applyAlignment="1" applyProtection="1">
      <alignment vertical="center" wrapText="1"/>
    </xf>
    <xf numFmtId="14" fontId="99" fillId="5" borderId="1" xfId="5" applyNumberFormat="1" applyFont="1" applyFill="1" applyBorder="1" applyAlignment="1" applyProtection="1">
      <alignment vertical="center" wrapText="1"/>
    </xf>
    <xf numFmtId="2" fontId="13" fillId="14" borderId="1" xfId="29" applyNumberFormat="1" applyFont="1" applyFill="1" applyBorder="1" applyAlignment="1" applyProtection="1">
      <alignment horizontal="center" vertical="center"/>
    </xf>
    <xf numFmtId="2" fontId="13" fillId="3" borderId="1" xfId="29" applyNumberFormat="1" applyFont="1" applyFill="1" applyBorder="1" applyAlignment="1" applyProtection="1">
      <alignment horizontal="center" vertical="center" wrapText="1"/>
      <protection locked="0"/>
    </xf>
    <xf numFmtId="2" fontId="13" fillId="0" borderId="1" xfId="29" applyNumberFormat="1" applyFont="1" applyFill="1" applyBorder="1" applyAlignment="1" applyProtection="1">
      <alignment vertical="center" wrapText="1"/>
    </xf>
    <xf numFmtId="14" fontId="13" fillId="3" borderId="1" xfId="29" applyNumberFormat="1" applyFont="1" applyFill="1" applyBorder="1" applyAlignment="1" applyProtection="1">
      <alignment vertical="center" wrapText="1"/>
      <protection locked="0"/>
    </xf>
    <xf numFmtId="2" fontId="13" fillId="3" borderId="1" xfId="29" applyNumberFormat="1" applyFont="1" applyFill="1" applyBorder="1" applyAlignment="1" applyProtection="1">
      <alignment vertical="center"/>
      <protection locked="0"/>
    </xf>
    <xf numFmtId="2" fontId="13" fillId="5" borderId="1" xfId="29" applyNumberFormat="1" applyFont="1" applyFill="1" applyBorder="1" applyAlignment="1" applyProtection="1">
      <alignment horizontal="center" vertical="center"/>
    </xf>
    <xf numFmtId="10" fontId="13" fillId="5" borderId="1" xfId="29" applyNumberFormat="1" applyFont="1" applyFill="1" applyBorder="1" applyAlignment="1" applyProtection="1">
      <alignment horizontal="center" vertical="center"/>
    </xf>
    <xf numFmtId="49" fontId="98" fillId="17" borderId="1" xfId="5" applyNumberFormat="1" applyFont="1" applyFill="1" applyBorder="1" applyAlignment="1" applyProtection="1">
      <alignment horizontal="right" vertical="center" wrapText="1"/>
    </xf>
    <xf numFmtId="49" fontId="98" fillId="17" borderId="1" xfId="5" applyNumberFormat="1" applyFont="1" applyFill="1" applyBorder="1" applyAlignment="1" applyProtection="1">
      <alignment vertical="top" wrapText="1"/>
    </xf>
    <xf numFmtId="2" fontId="98" fillId="17" borderId="1" xfId="5" applyNumberFormat="1" applyFont="1" applyFill="1" applyBorder="1" applyAlignment="1" applyProtection="1">
      <alignment vertical="top" wrapText="1"/>
    </xf>
    <xf numFmtId="2" fontId="98" fillId="17" borderId="1" xfId="5" applyNumberFormat="1" applyFont="1" applyFill="1" applyBorder="1" applyAlignment="1" applyProtection="1">
      <alignment horizontal="center" vertical="center" wrapText="1"/>
    </xf>
    <xf numFmtId="10" fontId="98" fillId="17" borderId="1" xfId="5" applyNumberFormat="1" applyFont="1" applyFill="1" applyBorder="1" applyAlignment="1" applyProtection="1">
      <alignment horizontal="center" vertical="center" wrapText="1"/>
    </xf>
    <xf numFmtId="0" fontId="98" fillId="17" borderId="1" xfId="5" applyNumberFormat="1" applyFont="1" applyFill="1" applyBorder="1" applyAlignment="1" applyProtection="1">
      <alignment vertical="top" wrapText="1"/>
    </xf>
    <xf numFmtId="2" fontId="13" fillId="3" borderId="1" xfId="30" applyNumberFormat="1" applyFont="1" applyFill="1" applyBorder="1" applyAlignment="1" applyProtection="1">
      <alignment vertical="center" wrapText="1"/>
      <protection locked="0"/>
    </xf>
    <xf numFmtId="0" fontId="13" fillId="3" borderId="1" xfId="30" applyNumberFormat="1" applyFont="1" applyFill="1" applyBorder="1" applyAlignment="1" applyProtection="1">
      <alignment vertical="center" wrapText="1"/>
      <protection locked="0"/>
    </xf>
    <xf numFmtId="2" fontId="85" fillId="5" borderId="1" xfId="29" applyNumberFormat="1" applyFont="1" applyFill="1" applyBorder="1" applyAlignment="1" applyProtection="1">
      <alignment horizontal="center" vertical="center"/>
    </xf>
    <xf numFmtId="2" fontId="85" fillId="14" borderId="1" xfId="30" applyNumberFormat="1" applyFont="1" applyFill="1" applyBorder="1" applyAlignment="1" applyProtection="1">
      <alignment horizontal="center" vertical="center"/>
    </xf>
    <xf numFmtId="2" fontId="13" fillId="5" borderId="1" xfId="29" applyNumberFormat="1" applyFont="1" applyFill="1" applyBorder="1" applyAlignment="1" applyProtection="1">
      <alignment vertical="center"/>
    </xf>
    <xf numFmtId="2" fontId="13" fillId="14" borderId="1" xfId="30" applyNumberFormat="1" applyFont="1" applyFill="1" applyBorder="1" applyAlignment="1" applyProtection="1">
      <alignment horizontal="center" vertical="center"/>
    </xf>
    <xf numFmtId="2" fontId="42" fillId="0" borderId="1" xfId="27" applyNumberFormat="1" applyFont="1" applyFill="1" applyBorder="1" applyAlignment="1" applyProtection="1">
      <alignment horizontal="left" vertical="center" wrapText="1"/>
    </xf>
    <xf numFmtId="2" fontId="42" fillId="14" borderId="1" xfId="27" applyNumberFormat="1" applyFont="1" applyFill="1" applyBorder="1" applyAlignment="1" applyProtection="1">
      <alignment horizontal="center" vertical="center" wrapText="1"/>
    </xf>
    <xf numFmtId="0" fontId="42" fillId="5" borderId="1" xfId="27" applyNumberFormat="1" applyFont="1" applyFill="1" applyBorder="1" applyAlignment="1" applyProtection="1">
      <alignment horizontal="center" vertical="center" wrapText="1"/>
    </xf>
    <xf numFmtId="0" fontId="17" fillId="0" borderId="0" xfId="29" applyFont="1" applyFill="1" applyAlignment="1" applyProtection="1">
      <alignment vertical="center" wrapText="1"/>
    </xf>
    <xf numFmtId="0" fontId="17" fillId="0" borderId="0" xfId="29" applyFont="1" applyFill="1" applyBorder="1" applyAlignment="1" applyProtection="1">
      <alignment vertical="center"/>
    </xf>
    <xf numFmtId="2" fontId="85" fillId="5" borderId="1" xfId="26" applyNumberFormat="1" applyFont="1" applyFill="1" applyBorder="1" applyAlignment="1" applyProtection="1">
      <alignment vertical="center" wrapText="1"/>
    </xf>
    <xf numFmtId="2" fontId="13" fillId="3" borderId="1" xfId="29" applyNumberFormat="1" applyFont="1" applyFill="1" applyBorder="1" applyAlignment="1" applyProtection="1">
      <alignment horizontal="center" vertical="center"/>
      <protection locked="0"/>
    </xf>
    <xf numFmtId="10" fontId="13" fillId="3" borderId="1" xfId="29" applyNumberFormat="1" applyFont="1" applyFill="1" applyBorder="1" applyAlignment="1" applyProtection="1">
      <alignment horizontal="center" vertical="center"/>
      <protection locked="0"/>
    </xf>
    <xf numFmtId="2" fontId="85" fillId="3" borderId="1" xfId="29" applyNumberFormat="1" applyFont="1" applyFill="1" applyBorder="1" applyAlignment="1" applyProtection="1">
      <alignment horizontal="center" vertical="center"/>
      <protection locked="0"/>
    </xf>
    <xf numFmtId="0" fontId="42" fillId="5" borderId="1" xfId="27" applyFont="1" applyFill="1" applyBorder="1" applyAlignment="1" applyProtection="1">
      <alignment horizontal="center" vertical="center" wrapText="1"/>
    </xf>
    <xf numFmtId="0" fontId="42" fillId="0" borderId="1" xfId="27" applyFont="1" applyFill="1" applyBorder="1" applyAlignment="1" applyProtection="1">
      <alignment horizontal="center" vertical="center" wrapText="1"/>
    </xf>
    <xf numFmtId="2" fontId="13" fillId="3" borderId="1" xfId="30" applyNumberFormat="1" applyFont="1" applyFill="1" applyBorder="1" applyAlignment="1" applyProtection="1">
      <alignment vertical="center"/>
      <protection locked="0"/>
    </xf>
    <xf numFmtId="0" fontId="13" fillId="0" borderId="0" xfId="29" applyFont="1" applyFill="1" applyAlignment="1" applyProtection="1">
      <alignment vertical="center"/>
    </xf>
    <xf numFmtId="0" fontId="100" fillId="0" borderId="0" xfId="29" applyFont="1" applyFill="1" applyAlignment="1" applyProtection="1">
      <alignment vertical="center"/>
    </xf>
    <xf numFmtId="0" fontId="100" fillId="0" borderId="0" xfId="29" applyFont="1" applyFill="1" applyBorder="1" applyAlignment="1" applyProtection="1">
      <alignment vertical="center"/>
    </xf>
    <xf numFmtId="0" fontId="16" fillId="0" borderId="0" xfId="0" applyFont="1" applyProtection="1"/>
    <xf numFmtId="0" fontId="100" fillId="0" borderId="0" xfId="29" applyFont="1" applyFill="1" applyBorder="1" applyAlignment="1" applyProtection="1">
      <alignment horizontal="center" vertical="center"/>
    </xf>
    <xf numFmtId="0" fontId="100" fillId="0" borderId="0" xfId="9" applyFont="1" applyFill="1" applyAlignment="1" applyProtection="1">
      <alignment vertical="center" wrapText="1"/>
    </xf>
    <xf numFmtId="0" fontId="16" fillId="0" borderId="0" xfId="29" applyFont="1" applyFill="1" applyAlignment="1" applyProtection="1">
      <alignment vertical="center"/>
    </xf>
    <xf numFmtId="2" fontId="85" fillId="14" borderId="1" xfId="29" applyNumberFormat="1" applyFont="1" applyFill="1" applyBorder="1" applyAlignment="1" applyProtection="1">
      <alignment horizontal="center" vertical="center" wrapText="1"/>
    </xf>
    <xf numFmtId="2" fontId="13" fillId="14" borderId="1" xfId="29" applyNumberFormat="1" applyFont="1" applyFill="1" applyBorder="1" applyAlignment="1" applyProtection="1">
      <alignment horizontal="center" vertical="center" wrapText="1"/>
    </xf>
    <xf numFmtId="2" fontId="13" fillId="5" borderId="1" xfId="29" applyNumberFormat="1" applyFont="1" applyFill="1" applyBorder="1" applyAlignment="1" applyProtection="1">
      <alignment horizontal="center" vertical="center" wrapText="1"/>
    </xf>
    <xf numFmtId="14" fontId="13" fillId="3" borderId="1" xfId="30" applyNumberFormat="1" applyFont="1" applyFill="1" applyBorder="1" applyAlignment="1" applyProtection="1">
      <alignment vertical="center" wrapText="1"/>
      <protection locked="0"/>
    </xf>
    <xf numFmtId="2" fontId="13" fillId="3" borderId="1" xfId="30" applyNumberFormat="1" applyFont="1" applyFill="1" applyBorder="1" applyAlignment="1" applyProtection="1">
      <alignment horizontal="center" vertical="center" wrapText="1"/>
      <protection locked="0"/>
    </xf>
    <xf numFmtId="2" fontId="85" fillId="5" borderId="1" xfId="29" applyNumberFormat="1" applyFont="1" applyFill="1" applyBorder="1" applyAlignment="1" applyProtection="1">
      <alignment horizontal="center" vertical="center" wrapText="1"/>
    </xf>
    <xf numFmtId="2" fontId="85" fillId="14" borderId="1" xfId="30" applyNumberFormat="1" applyFont="1" applyFill="1" applyBorder="1" applyAlignment="1" applyProtection="1">
      <alignment horizontal="center" vertical="center" wrapText="1"/>
    </xf>
    <xf numFmtId="2" fontId="13" fillId="5" borderId="1" xfId="29" applyNumberFormat="1" applyFont="1" applyFill="1" applyBorder="1" applyAlignment="1" applyProtection="1">
      <alignment vertical="center" wrapText="1"/>
    </xf>
    <xf numFmtId="2" fontId="13" fillId="14" borderId="1" xfId="30" applyNumberFormat="1" applyFont="1" applyFill="1" applyBorder="1" applyAlignment="1" applyProtection="1">
      <alignment horizontal="center" vertical="center" wrapText="1"/>
    </xf>
    <xf numFmtId="2" fontId="13" fillId="0" borderId="1" xfId="30" applyNumberFormat="1" applyFont="1" applyFill="1" applyBorder="1" applyAlignment="1" applyProtection="1">
      <alignment vertical="center" wrapText="1"/>
    </xf>
    <xf numFmtId="0" fontId="42" fillId="0" borderId="0" xfId="27" applyFont="1" applyFill="1" applyBorder="1" applyAlignment="1" applyProtection="1">
      <alignment horizontal="center" vertical="center" wrapText="1"/>
    </xf>
    <xf numFmtId="0" fontId="16" fillId="0" borderId="0" xfId="0" applyFont="1" applyFill="1" applyAlignment="1" applyProtection="1">
      <alignment horizontal="left" vertical="top" indent="1"/>
    </xf>
    <xf numFmtId="0" fontId="42" fillId="0" borderId="0" xfId="10" applyFont="1" applyFill="1" applyBorder="1" applyAlignment="1" applyProtection="1">
      <alignment horizontal="center" vertical="center" wrapText="1"/>
    </xf>
    <xf numFmtId="0" fontId="72" fillId="0" borderId="0" xfId="5" applyFont="1" applyFill="1" applyAlignment="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0" fontId="0" fillId="0" borderId="0" xfId="0" applyFill="1" applyProtection="1"/>
    <xf numFmtId="4" fontId="0" fillId="0" borderId="0" xfId="0" applyNumberFormat="1" applyFill="1" applyProtection="1"/>
    <xf numFmtId="3" fontId="0" fillId="0" borderId="0" xfId="0" applyNumberFormat="1" applyFill="1" applyProtection="1"/>
    <xf numFmtId="49" fontId="68" fillId="0" borderId="0" xfId="0" applyNumberFormat="1" applyFont="1" applyFill="1" applyProtection="1"/>
    <xf numFmtId="0" fontId="101" fillId="0" borderId="0" xfId="0" applyFont="1" applyFill="1" applyAlignment="1" applyProtection="1">
      <alignment horizontal="right" wrapText="1"/>
    </xf>
    <xf numFmtId="3" fontId="101" fillId="0" borderId="0" xfId="0" applyNumberFormat="1" applyFont="1" applyFill="1" applyAlignment="1" applyProtection="1">
      <alignment horizontal="right" wrapText="1"/>
    </xf>
    <xf numFmtId="3" fontId="38" fillId="0" borderId="0" xfId="10" applyNumberFormat="1" applyFont="1" applyFill="1" applyBorder="1" applyAlignment="1" applyProtection="1">
      <alignment horizontal="center" vertical="center" wrapText="1"/>
    </xf>
    <xf numFmtId="0" fontId="16" fillId="0" borderId="0" xfId="10" applyFont="1" applyFill="1" applyBorder="1" applyAlignment="1" applyProtection="1">
      <alignment horizontal="center" vertical="center" wrapText="1"/>
    </xf>
    <xf numFmtId="4" fontId="16" fillId="0" borderId="0" xfId="9" applyNumberFormat="1" applyFont="1" applyFill="1" applyAlignment="1" applyProtection="1">
      <alignment vertical="center" wrapText="1"/>
    </xf>
    <xf numFmtId="0" fontId="68" fillId="0" borderId="0" xfId="0" applyFont="1" applyFill="1" applyProtection="1"/>
    <xf numFmtId="0" fontId="68" fillId="0" borderId="0" xfId="0" applyNumberFormat="1" applyFont="1" applyFill="1" applyProtection="1"/>
    <xf numFmtId="0" fontId="80" fillId="5" borderId="1" xfId="26" applyNumberFormat="1" applyFont="1" applyFill="1" applyBorder="1" applyAlignment="1" applyProtection="1">
      <alignment horizontal="center" vertical="center" wrapText="1"/>
    </xf>
    <xf numFmtId="3" fontId="80" fillId="5" borderId="1" xfId="26" applyNumberFormat="1" applyFont="1" applyFill="1" applyBorder="1" applyAlignment="1" applyProtection="1">
      <alignment horizontal="center" vertical="center" wrapText="1"/>
    </xf>
    <xf numFmtId="0" fontId="91" fillId="5" borderId="1" xfId="27" applyFont="1" applyFill="1" applyBorder="1" applyAlignment="1" applyProtection="1">
      <alignment horizontal="center" vertical="center" wrapText="1"/>
    </xf>
    <xf numFmtId="0" fontId="91" fillId="5" borderId="1" xfId="26" applyFont="1" applyFill="1" applyBorder="1" applyAlignment="1" applyProtection="1">
      <alignment horizontal="center" vertical="center" wrapText="1"/>
    </xf>
    <xf numFmtId="0" fontId="13" fillId="15" borderId="1" xfId="26" applyFont="1" applyFill="1" applyBorder="1" applyAlignment="1" applyProtection="1">
      <alignment vertical="center" wrapText="1"/>
    </xf>
    <xf numFmtId="0" fontId="13" fillId="3" borderId="1" xfId="26" applyFont="1" applyFill="1" applyBorder="1" applyAlignment="1" applyProtection="1">
      <alignment horizontal="left" vertical="top" wrapText="1"/>
      <protection locked="0"/>
    </xf>
    <xf numFmtId="0" fontId="13" fillId="16" borderId="1" xfId="26" applyFont="1" applyFill="1" applyBorder="1" applyAlignment="1" applyProtection="1">
      <alignment horizontal="left" vertical="top" wrapText="1"/>
      <protection locked="0"/>
    </xf>
    <xf numFmtId="0" fontId="13" fillId="3" borderId="1" xfId="26" applyFont="1" applyFill="1" applyBorder="1" applyAlignment="1" applyProtection="1">
      <alignment horizontal="center" vertical="center" wrapText="1"/>
      <protection locked="0"/>
    </xf>
    <xf numFmtId="4" fontId="13" fillId="3" borderId="1" xfId="26" applyNumberFormat="1" applyFont="1" applyFill="1" applyBorder="1" applyAlignment="1" applyProtection="1">
      <alignment vertical="center" wrapText="1"/>
      <protection locked="0"/>
    </xf>
    <xf numFmtId="10" fontId="13" fillId="3" borderId="1" xfId="26" applyNumberFormat="1" applyFont="1" applyFill="1" applyBorder="1" applyAlignment="1" applyProtection="1">
      <alignment vertical="center" wrapText="1"/>
      <protection locked="0"/>
    </xf>
    <xf numFmtId="4" fontId="13" fillId="14" borderId="1" xfId="26" applyNumberFormat="1" applyFont="1" applyFill="1" applyBorder="1" applyAlignment="1" applyProtection="1">
      <alignment vertical="center" wrapText="1"/>
    </xf>
    <xf numFmtId="3" fontId="13" fillId="3" borderId="1" xfId="26" applyNumberFormat="1" applyFont="1" applyFill="1" applyBorder="1" applyAlignment="1" applyProtection="1">
      <alignment horizontal="center" vertical="center" wrapText="1"/>
      <protection locked="0"/>
    </xf>
    <xf numFmtId="14" fontId="13" fillId="3" borderId="1" xfId="26" applyNumberFormat="1" applyFont="1" applyFill="1" applyBorder="1" applyAlignment="1" applyProtection="1">
      <alignment horizontal="center" vertical="center" wrapText="1"/>
      <protection locked="0"/>
    </xf>
    <xf numFmtId="0" fontId="16" fillId="15" borderId="1" xfId="26" applyFont="1" applyFill="1" applyBorder="1" applyAlignment="1" applyProtection="1">
      <alignment horizontal="center" vertical="center" wrapText="1"/>
    </xf>
    <xf numFmtId="0" fontId="42" fillId="15" borderId="1" xfId="26" applyFont="1" applyFill="1" applyBorder="1" applyAlignment="1" applyProtection="1">
      <alignment horizontal="left" vertical="center" wrapText="1"/>
    </xf>
    <xf numFmtId="167" fontId="16" fillId="14" borderId="1" xfId="26" applyNumberFormat="1" applyFont="1" applyFill="1" applyBorder="1" applyAlignment="1" applyProtection="1">
      <alignment horizontal="center" vertical="center" wrapText="1"/>
    </xf>
    <xf numFmtId="164" fontId="16" fillId="5" borderId="1" xfId="21" applyNumberFormat="1" applyFont="1" applyFill="1" applyBorder="1" applyAlignment="1" applyProtection="1">
      <alignment horizontal="center" vertical="center" wrapText="1"/>
    </xf>
    <xf numFmtId="0" fontId="0" fillId="0" borderId="0" xfId="0" applyFont="1" applyFill="1" applyProtection="1"/>
    <xf numFmtId="167" fontId="42" fillId="14" borderId="1" xfId="26" applyNumberFormat="1" applyFont="1" applyFill="1" applyBorder="1" applyAlignment="1" applyProtection="1">
      <alignment horizontal="center" vertical="center" wrapText="1"/>
    </xf>
    <xf numFmtId="4" fontId="85" fillId="3" borderId="1" xfId="26"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vertical="top"/>
    </xf>
    <xf numFmtId="49" fontId="39" fillId="0" borderId="0" xfId="0" applyNumberFormat="1" applyFont="1" applyFill="1" applyAlignment="1" applyProtection="1">
      <alignment horizontal="center" vertical="top"/>
    </xf>
    <xf numFmtId="49" fontId="39" fillId="0" borderId="0" xfId="0" applyNumberFormat="1" applyFont="1" applyFill="1" applyAlignment="1" applyProtection="1">
      <alignment horizontal="center" vertical="center"/>
    </xf>
    <xf numFmtId="49" fontId="41" fillId="0" borderId="0" xfId="0" applyNumberFormat="1" applyFont="1" applyFill="1" applyAlignment="1" applyProtection="1">
      <alignment vertical="center"/>
    </xf>
    <xf numFmtId="49" fontId="39" fillId="0" borderId="0" xfId="0" applyNumberFormat="1" applyFont="1" applyFill="1" applyAlignment="1" applyProtection="1">
      <alignment vertical="top"/>
    </xf>
    <xf numFmtId="49" fontId="39" fillId="0" borderId="0" xfId="0" applyNumberFormat="1" applyFont="1" applyFill="1" applyBorder="1" applyAlignment="1" applyProtection="1">
      <alignment horizontal="left" vertical="top" wrapText="1"/>
    </xf>
    <xf numFmtId="49" fontId="55" fillId="0" borderId="0" xfId="0" applyNumberFormat="1" applyFont="1" applyFill="1" applyAlignment="1" applyProtection="1">
      <alignment vertical="top"/>
    </xf>
    <xf numFmtId="4" fontId="102" fillId="0" borderId="0" xfId="9" applyNumberFormat="1" applyFont="1" applyFill="1" applyAlignment="1" applyProtection="1">
      <alignment vertical="center" wrapText="1"/>
    </xf>
    <xf numFmtId="3" fontId="42" fillId="5" borderId="1" xfId="26" applyNumberFormat="1" applyFont="1" applyFill="1" applyBorder="1" applyAlignment="1" applyProtection="1">
      <alignment horizontal="center" vertical="center" wrapText="1"/>
    </xf>
    <xf numFmtId="3" fontId="91" fillId="5" borderId="1" xfId="26" applyNumberFormat="1" applyFont="1" applyFill="1" applyBorder="1" applyAlignment="1" applyProtection="1">
      <alignment horizontal="center" vertical="center" wrapText="1"/>
    </xf>
    <xf numFmtId="4" fontId="13" fillId="3" borderId="1" xfId="26" applyNumberFormat="1" applyFont="1" applyFill="1" applyBorder="1" applyAlignment="1" applyProtection="1">
      <alignment horizontal="right" vertical="center" wrapText="1"/>
      <protection locked="0"/>
    </xf>
    <xf numFmtId="4" fontId="13" fillId="3" borderId="1" xfId="26" applyNumberFormat="1" applyFont="1" applyFill="1" applyBorder="1" applyAlignment="1" applyProtection="1">
      <alignment horizontal="center" vertical="center" wrapText="1"/>
      <protection locked="0"/>
    </xf>
    <xf numFmtId="2" fontId="13" fillId="3" borderId="1" xfId="26" applyNumberFormat="1" applyFont="1" applyFill="1" applyBorder="1" applyAlignment="1" applyProtection="1">
      <alignment horizontal="right" vertical="center" wrapText="1"/>
      <protection locked="0"/>
    </xf>
    <xf numFmtId="4" fontId="13" fillId="14" borderId="1" xfId="26" applyNumberFormat="1" applyFont="1" applyFill="1" applyBorder="1" applyAlignment="1" applyProtection="1">
      <alignment horizontal="center" vertical="center" wrapText="1"/>
    </xf>
    <xf numFmtId="10" fontId="13" fillId="3" borderId="1" xfId="21" applyNumberFormat="1" applyFont="1" applyFill="1" applyBorder="1" applyAlignment="1" applyProtection="1">
      <alignment vertical="center" wrapText="1"/>
      <protection locked="0"/>
    </xf>
    <xf numFmtId="49" fontId="94" fillId="17" borderId="1" xfId="5" applyNumberFormat="1" applyFont="1" applyFill="1" applyBorder="1" applyAlignment="1" applyProtection="1">
      <alignment horizontal="right" vertical="center" wrapText="1"/>
      <protection hidden="1"/>
    </xf>
    <xf numFmtId="4" fontId="16" fillId="14" borderId="1" xfId="26" applyNumberFormat="1" applyFont="1" applyFill="1" applyBorder="1" applyAlignment="1" applyProtection="1">
      <alignment horizontal="center" vertical="center" wrapText="1"/>
    </xf>
    <xf numFmtId="0" fontId="103" fillId="0" borderId="0" xfId="26" applyFont="1" applyFill="1" applyAlignment="1" applyProtection="1">
      <alignment vertical="center"/>
    </xf>
    <xf numFmtId="0" fontId="104" fillId="0" borderId="0" xfId="0" applyFont="1" applyFill="1" applyAlignment="1" applyProtection="1">
      <alignment horizontal="center" wrapText="1"/>
    </xf>
    <xf numFmtId="0" fontId="104" fillId="0" borderId="0" xfId="0" applyFont="1" applyFill="1" applyAlignment="1" applyProtection="1">
      <alignment horizontal="center" vertical="center" wrapText="1"/>
    </xf>
    <xf numFmtId="2" fontId="104" fillId="0" borderId="0" xfId="0" applyNumberFormat="1" applyFont="1" applyFill="1" applyAlignment="1" applyProtection="1">
      <alignment wrapText="1"/>
    </xf>
    <xf numFmtId="0" fontId="0" fillId="0" borderId="0" xfId="0" applyFill="1" applyBorder="1" applyAlignment="1" applyProtection="1">
      <alignment wrapText="1"/>
    </xf>
    <xf numFmtId="3" fontId="0" fillId="0" borderId="0" xfId="0" applyNumberFormat="1" applyFill="1" applyBorder="1" applyAlignment="1" applyProtection="1">
      <alignment wrapText="1"/>
    </xf>
    <xf numFmtId="0" fontId="91" fillId="0" borderId="0" xfId="0" applyFont="1" applyFill="1" applyBorder="1" applyAlignment="1" applyProtection="1">
      <alignment wrapText="1"/>
    </xf>
    <xf numFmtId="0" fontId="91" fillId="0" borderId="0" xfId="0" applyFont="1" applyFill="1" applyAlignment="1" applyProtection="1">
      <alignment wrapText="1"/>
    </xf>
    <xf numFmtId="0" fontId="105" fillId="0" borderId="0" xfId="0" applyFont="1" applyFill="1" applyAlignment="1" applyProtection="1">
      <alignment wrapText="1"/>
    </xf>
    <xf numFmtId="0" fontId="38" fillId="0" borderId="0" xfId="17" applyFont="1" applyBorder="1" applyAlignment="1" applyProtection="1">
      <alignment vertical="center" wrapText="1"/>
    </xf>
    <xf numFmtId="0" fontId="37" fillId="0" borderId="0" xfId="17" applyBorder="1" applyAlignment="1" applyProtection="1">
      <alignment vertical="center" wrapText="1"/>
    </xf>
    <xf numFmtId="0" fontId="40" fillId="0" borderId="0" xfId="17" applyFont="1" applyBorder="1" applyAlignment="1" applyProtection="1">
      <alignment horizontal="right" vertical="center" wrapText="1"/>
    </xf>
    <xf numFmtId="0" fontId="25" fillId="5" borderId="1" xfId="0" applyFont="1" applyFill="1" applyBorder="1" applyAlignment="1" applyProtection="1">
      <alignment horizontal="center" vertical="center" wrapText="1"/>
    </xf>
    <xf numFmtId="0" fontId="106" fillId="0" borderId="0" xfId="26" applyFont="1" applyFill="1" applyBorder="1" applyAlignment="1" applyProtection="1">
      <alignment horizontal="left" vertical="center"/>
    </xf>
    <xf numFmtId="0" fontId="53" fillId="5" borderId="1" xfId="27" applyFont="1" applyFill="1" applyBorder="1" applyAlignment="1" applyProtection="1">
      <alignment horizontal="center" vertical="center" wrapText="1"/>
    </xf>
    <xf numFmtId="0" fontId="53" fillId="5" borderId="1" xfId="26" applyFont="1" applyFill="1" applyBorder="1" applyAlignment="1" applyProtection="1">
      <alignment horizontal="center" vertical="center" wrapText="1"/>
    </xf>
    <xf numFmtId="0" fontId="84" fillId="0" borderId="0" xfId="26" applyFont="1" applyFill="1" applyBorder="1" applyAlignment="1" applyProtection="1">
      <alignment horizontal="center" vertical="center" wrapText="1"/>
    </xf>
    <xf numFmtId="49" fontId="25" fillId="0" borderId="1" xfId="0" applyNumberFormat="1" applyFont="1" applyBorder="1" applyAlignment="1" applyProtection="1">
      <alignment horizontal="center" vertical="center"/>
    </xf>
    <xf numFmtId="0" fontId="25" fillId="0" borderId="1" xfId="0" applyFont="1" applyBorder="1" applyAlignment="1" applyProtection="1">
      <alignment horizontal="left" vertical="center" wrapText="1"/>
    </xf>
    <xf numFmtId="164" fontId="25" fillId="5" borderId="1" xfId="21" applyNumberFormat="1" applyFont="1" applyFill="1" applyBorder="1" applyAlignment="1" applyProtection="1">
      <alignment horizontal="center" vertical="center"/>
    </xf>
    <xf numFmtId="164" fontId="25" fillId="14" borderId="1" xfId="21" applyNumberFormat="1" applyFont="1" applyFill="1" applyBorder="1" applyAlignment="1" applyProtection="1">
      <alignment horizontal="center" vertical="center"/>
    </xf>
    <xf numFmtId="0" fontId="25" fillId="15" borderId="1" xfId="0" applyFont="1" applyFill="1" applyBorder="1" applyAlignment="1" applyProtection="1">
      <alignment horizontal="left" vertical="center" wrapText="1"/>
    </xf>
    <xf numFmtId="4" fontId="24" fillId="14" borderId="1" xfId="26" applyNumberFormat="1" applyFont="1" applyFill="1" applyBorder="1" applyAlignment="1" applyProtection="1">
      <alignment horizontal="center" vertical="center" wrapText="1"/>
    </xf>
    <xf numFmtId="4" fontId="25" fillId="0" borderId="0" xfId="0" applyNumberFormat="1" applyFont="1" applyAlignment="1" applyProtection="1">
      <alignment vertical="top"/>
    </xf>
    <xf numFmtId="0" fontId="37" fillId="0" borderId="0" xfId="17" applyBorder="1" applyAlignment="1" applyProtection="1">
      <alignment horizontal="center" vertical="center" wrapText="1"/>
    </xf>
    <xf numFmtId="43" fontId="25" fillId="0" borderId="0" xfId="23" applyFont="1" applyBorder="1" applyAlignment="1" applyProtection="1">
      <alignment horizontal="center" vertical="center" wrapText="1"/>
    </xf>
    <xf numFmtId="0" fontId="26" fillId="0" borderId="0" xfId="0" applyFont="1" applyAlignment="1" applyProtection="1">
      <alignment horizontal="left" vertical="top" indent="1"/>
    </xf>
    <xf numFmtId="0" fontId="107" fillId="0" borderId="0" xfId="17" applyFont="1" applyBorder="1" applyAlignment="1" applyProtection="1">
      <alignment horizontal="center" vertical="center" wrapText="1"/>
    </xf>
    <xf numFmtId="0" fontId="37" fillId="0" borderId="0" xfId="17" applyBorder="1" applyAlignment="1" applyProtection="1">
      <alignment horizontal="center" wrapText="1"/>
    </xf>
    <xf numFmtId="49" fontId="41" fillId="0" borderId="0" xfId="0" applyNumberFormat="1" applyFont="1" applyAlignment="1" applyProtection="1"/>
    <xf numFmtId="49" fontId="0" fillId="0" borderId="0" xfId="0" applyNumberFormat="1" applyFill="1" applyBorder="1" applyAlignment="1" applyProtection="1">
      <alignment vertical="top"/>
    </xf>
    <xf numFmtId="49" fontId="47" fillId="0" borderId="0" xfId="0" applyNumberFormat="1" applyFont="1" applyFill="1" applyBorder="1" applyAlignment="1" applyProtection="1">
      <alignment vertical="top" wrapText="1"/>
    </xf>
    <xf numFmtId="49" fontId="47" fillId="0" borderId="0" xfId="0" applyNumberFormat="1" applyFont="1" applyFill="1" applyBorder="1" applyAlignment="1" applyProtection="1">
      <alignment vertical="top"/>
    </xf>
    <xf numFmtId="0" fontId="0" fillId="0" borderId="0" xfId="0" applyFill="1" applyBorder="1" applyAlignment="1" applyProtection="1">
      <alignment vertical="top"/>
    </xf>
    <xf numFmtId="49" fontId="41" fillId="0" borderId="0" xfId="0" applyNumberFormat="1" applyFont="1" applyAlignment="1" applyProtection="1">
      <alignment vertical="top"/>
    </xf>
    <xf numFmtId="0" fontId="41" fillId="0" borderId="0" xfId="0" applyFont="1" applyAlignment="1" applyProtection="1">
      <alignment vertical="top"/>
    </xf>
    <xf numFmtId="49" fontId="109" fillId="0" borderId="0" xfId="5" applyNumberFormat="1" applyFont="1" applyAlignment="1" applyProtection="1">
      <alignment vertical="top"/>
    </xf>
    <xf numFmtId="49" fontId="25" fillId="0" borderId="0" xfId="0" applyNumberFormat="1" applyFont="1" applyAlignment="1" applyProtection="1">
      <alignment horizontal="right"/>
    </xf>
    <xf numFmtId="49" fontId="25" fillId="0" borderId="0" xfId="0" applyNumberFormat="1" applyFont="1" applyBorder="1" applyAlignment="1" applyProtection="1">
      <alignment horizontal="right" vertical="top"/>
    </xf>
    <xf numFmtId="49" fontId="25" fillId="0" borderId="1" xfId="0" applyNumberFormat="1" applyFont="1" applyBorder="1" applyAlignment="1" applyProtection="1">
      <alignment vertical="top"/>
    </xf>
    <xf numFmtId="4" fontId="16" fillId="14" borderId="1" xfId="18" applyFont="1" applyFill="1" applyBorder="1" applyProtection="1">
      <alignment horizontal="right"/>
    </xf>
    <xf numFmtId="49" fontId="25" fillId="0" borderId="1" xfId="0" applyNumberFormat="1" applyFont="1" applyBorder="1" applyAlignment="1" applyProtection="1">
      <alignment horizontal="left" vertical="top" indent="1"/>
    </xf>
    <xf numFmtId="4" fontId="16" fillId="14" borderId="1" xfId="12" applyFont="1" applyFill="1" applyBorder="1" applyProtection="1">
      <alignment horizontal="right"/>
    </xf>
    <xf numFmtId="4" fontId="0" fillId="0" borderId="0" xfId="0" applyNumberFormat="1" applyAlignment="1" applyProtection="1">
      <alignment vertical="top"/>
    </xf>
    <xf numFmtId="4" fontId="5" fillId="0" borderId="0" xfId="18" applyFill="1" applyBorder="1" applyProtection="1">
      <alignment horizontal="right"/>
    </xf>
    <xf numFmtId="0" fontId="65" fillId="0" borderId="0" xfId="5" applyFont="1" applyFill="1" applyAlignment="1" applyProtection="1"/>
    <xf numFmtId="0" fontId="71" fillId="0" borderId="0" xfId="0" applyFont="1" applyProtection="1"/>
    <xf numFmtId="49" fontId="39" fillId="0" borderId="0" xfId="0" applyNumberFormat="1" applyFont="1" applyFill="1" applyAlignment="1" applyProtection="1">
      <alignment horizontal="center" vertical="center" wrapText="1"/>
    </xf>
    <xf numFmtId="49" fontId="25" fillId="0" borderId="0" xfId="0" applyNumberFormat="1" applyFont="1" applyFill="1" applyAlignment="1" applyProtection="1"/>
    <xf numFmtId="49" fontId="25" fillId="0" borderId="0" xfId="0" applyNumberFormat="1" applyFont="1" applyFill="1" applyAlignment="1" applyProtection="1">
      <alignment horizontal="right"/>
    </xf>
    <xf numFmtId="2" fontId="24" fillId="5" borderId="1" xfId="27" applyNumberFormat="1" applyFont="1" applyFill="1" applyBorder="1" applyAlignment="1" applyProtection="1">
      <alignment horizontal="center" vertical="center" wrapText="1"/>
    </xf>
    <xf numFmtId="2" fontId="24" fillId="5" borderId="39" xfId="27" applyNumberFormat="1" applyFont="1" applyFill="1" applyBorder="1" applyAlignment="1" applyProtection="1">
      <alignment horizontal="center" vertical="center" wrapText="1"/>
    </xf>
    <xf numFmtId="49" fontId="24" fillId="5" borderId="1" xfId="0" applyNumberFormat="1" applyFont="1" applyFill="1" applyBorder="1" applyAlignment="1" applyProtection="1">
      <alignment vertical="center" wrapText="1"/>
    </xf>
    <xf numFmtId="0" fontId="25" fillId="5" borderId="1" xfId="0" applyFont="1" applyFill="1" applyBorder="1" applyAlignment="1" applyProtection="1">
      <alignment horizontal="center" vertical="center"/>
    </xf>
    <xf numFmtId="0" fontId="25" fillId="5"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top" wrapText="1"/>
    </xf>
    <xf numFmtId="49" fontId="24" fillId="0" borderId="1" xfId="0" applyNumberFormat="1" applyFont="1" applyFill="1" applyBorder="1" applyAlignment="1" applyProtection="1">
      <alignment horizontal="left" vertical="center" wrapText="1"/>
    </xf>
    <xf numFmtId="4" fontId="25" fillId="5" borderId="1" xfId="0" applyNumberFormat="1" applyFont="1" applyFill="1" applyBorder="1" applyAlignment="1" applyProtection="1">
      <alignment horizontal="center" vertical="center" wrapText="1"/>
    </xf>
    <xf numFmtId="4" fontId="24" fillId="14" borderId="1" xfId="0" applyNumberFormat="1" applyFont="1" applyFill="1" applyBorder="1" applyAlignment="1" applyProtection="1">
      <alignment horizontal="center" vertical="center" wrapText="1"/>
      <protection locked="0"/>
    </xf>
    <xf numFmtId="4" fontId="24" fillId="14" borderId="1" xfId="0" applyNumberFormat="1" applyFont="1" applyFill="1" applyBorder="1" applyAlignment="1" applyProtection="1">
      <alignment horizontal="center" vertical="center" wrapText="1"/>
    </xf>
    <xf numFmtId="49" fontId="25" fillId="0" borderId="1" xfId="0" applyNumberFormat="1" applyFont="1" applyFill="1" applyBorder="1" applyAlignment="1" applyProtection="1">
      <alignment horizontal="left" vertical="center" wrapText="1"/>
    </xf>
    <xf numFmtId="4" fontId="25" fillId="14" borderId="1" xfId="0" applyNumberFormat="1" applyFont="1" applyFill="1" applyBorder="1" applyAlignment="1" applyProtection="1">
      <alignment horizontal="center" vertical="center" wrapText="1"/>
    </xf>
    <xf numFmtId="14" fontId="25" fillId="0" borderId="1" xfId="0" applyNumberFormat="1" applyFont="1" applyFill="1" applyBorder="1" applyAlignment="1" applyProtection="1">
      <alignment horizontal="center" vertical="top" wrapText="1"/>
    </xf>
    <xf numFmtId="10" fontId="25" fillId="5" borderId="1" xfId="0" applyNumberFormat="1" applyFont="1" applyFill="1" applyBorder="1" applyAlignment="1" applyProtection="1">
      <alignment horizontal="center" vertical="center" wrapText="1"/>
    </xf>
    <xf numFmtId="10" fontId="94" fillId="17" borderId="1" xfId="5" applyNumberFormat="1" applyFont="1" applyFill="1" applyBorder="1" applyAlignment="1" applyProtection="1">
      <alignment vertical="top" wrapText="1"/>
    </xf>
    <xf numFmtId="0" fontId="94" fillId="17" borderId="1" xfId="5" applyNumberFormat="1" applyFont="1" applyFill="1" applyBorder="1" applyAlignment="1" applyProtection="1">
      <alignment vertical="top" wrapText="1"/>
    </xf>
    <xf numFmtId="0" fontId="26" fillId="0" borderId="0" xfId="0" applyFont="1" applyFill="1" applyAlignment="1" applyProtection="1">
      <alignment horizontal="left" vertical="top" indent="1"/>
    </xf>
    <xf numFmtId="0" fontId="27" fillId="0" borderId="0" xfId="0" applyFont="1" applyFill="1" applyAlignment="1" applyProtection="1">
      <alignment vertical="top"/>
    </xf>
    <xf numFmtId="0" fontId="25" fillId="0" borderId="0" xfId="0" applyNumberFormat="1" applyFont="1" applyProtection="1"/>
    <xf numFmtId="0" fontId="53" fillId="5" borderId="1" xfId="0" applyNumberFormat="1"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xf>
    <xf numFmtId="0" fontId="53" fillId="0" borderId="1" xfId="31" applyNumberFormat="1" applyFont="1" applyBorder="1" applyAlignment="1" applyProtection="1">
      <alignment horizontal="center" vertical="center" wrapText="1"/>
    </xf>
    <xf numFmtId="49" fontId="96" fillId="0" borderId="1" xfId="31" applyNumberFormat="1" applyFont="1" applyBorder="1" applyAlignment="1" applyProtection="1">
      <alignment horizontal="left" vertical="center" wrapText="1"/>
    </xf>
    <xf numFmtId="49" fontId="96" fillId="5" borderId="1" xfId="31" applyNumberFormat="1" applyFont="1" applyFill="1" applyBorder="1" applyAlignment="1" applyProtection="1">
      <alignment horizontal="left" vertical="center" wrapText="1"/>
    </xf>
    <xf numFmtId="0" fontId="25" fillId="5" borderId="1" xfId="31" applyFont="1" applyFill="1" applyBorder="1" applyAlignment="1" applyProtection="1">
      <alignment vertical="center" wrapText="1"/>
    </xf>
    <xf numFmtId="2" fontId="25" fillId="3" borderId="1" xfId="31" applyNumberFormat="1" applyFont="1" applyFill="1" applyBorder="1" applyAlignment="1" applyProtection="1">
      <alignment vertical="center" wrapText="1"/>
      <protection locked="0"/>
    </xf>
    <xf numFmtId="0" fontId="53" fillId="5" borderId="1" xfId="31" applyFont="1" applyFill="1" applyBorder="1" applyAlignment="1" applyProtection="1">
      <alignment horizontal="center" vertical="center" wrapText="1"/>
    </xf>
    <xf numFmtId="2" fontId="96" fillId="5" borderId="1" xfId="31" applyNumberFormat="1" applyFont="1" applyFill="1" applyBorder="1" applyAlignment="1" applyProtection="1">
      <alignment horizontal="left" vertical="center" wrapText="1"/>
    </xf>
    <xf numFmtId="2" fontId="24" fillId="14" borderId="1" xfId="31" applyNumberFormat="1" applyFont="1" applyFill="1" applyBorder="1" applyAlignment="1" applyProtection="1">
      <alignment vertical="center" wrapText="1"/>
    </xf>
    <xf numFmtId="0" fontId="25" fillId="3" borderId="1" xfId="31" applyFont="1" applyFill="1" applyBorder="1" applyAlignment="1" applyProtection="1">
      <alignment vertical="center" wrapText="1"/>
      <protection locked="0"/>
    </xf>
    <xf numFmtId="2" fontId="25" fillId="14" borderId="1" xfId="31" applyNumberFormat="1" applyFont="1" applyFill="1" applyBorder="1" applyAlignment="1" applyProtection="1">
      <alignment vertical="center" wrapText="1"/>
    </xf>
    <xf numFmtId="0" fontId="53" fillId="3" borderId="1" xfId="31" applyFont="1" applyFill="1" applyBorder="1" applyAlignment="1" applyProtection="1">
      <alignment horizontal="center" vertical="center" wrapText="1"/>
      <protection locked="0"/>
    </xf>
    <xf numFmtId="2" fontId="25" fillId="5" borderId="1" xfId="31" applyNumberFormat="1" applyFont="1" applyFill="1" applyBorder="1" applyAlignment="1" applyProtection="1">
      <alignment vertical="center" wrapText="1"/>
    </xf>
    <xf numFmtId="49" fontId="0" fillId="0" borderId="0" xfId="0" applyNumberFormat="1" applyProtection="1"/>
    <xf numFmtId="0" fontId="65" fillId="0" borderId="0" xfId="5" applyFont="1" applyAlignment="1" applyProtection="1">
      <alignment vertical="top"/>
    </xf>
    <xf numFmtId="49" fontId="47" fillId="0" borderId="0" xfId="0" applyNumberFormat="1" applyFont="1" applyFill="1" applyAlignment="1" applyProtection="1">
      <alignment horizontal="right" vertical="top"/>
    </xf>
    <xf numFmtId="0" fontId="38" fillId="0" borderId="0" xfId="17" applyFont="1" applyFill="1" applyAlignment="1" applyProtection="1">
      <alignment horizontal="center" vertical="center" wrapText="1"/>
    </xf>
    <xf numFmtId="0" fontId="23" fillId="0" borderId="0" xfId="17" applyFont="1" applyFill="1" applyAlignment="1" applyProtection="1">
      <alignment horizontal="center" vertical="center" wrapText="1"/>
    </xf>
    <xf numFmtId="49" fontId="25" fillId="0" borderId="0" xfId="0" applyNumberFormat="1" applyFont="1" applyFill="1" applyAlignment="1" applyProtection="1">
      <alignment vertical="top"/>
    </xf>
    <xf numFmtId="49" fontId="25" fillId="0" borderId="0" xfId="0" applyNumberFormat="1" applyFont="1" applyFill="1" applyAlignment="1" applyProtection="1">
      <alignment vertical="top" wrapText="1"/>
    </xf>
    <xf numFmtId="49" fontId="78" fillId="0" borderId="0" xfId="0" applyNumberFormat="1" applyFont="1" applyFill="1" applyAlignment="1" applyProtection="1">
      <alignment vertical="top"/>
    </xf>
    <xf numFmtId="49" fontId="40" fillId="0" borderId="0" xfId="0" applyNumberFormat="1" applyFont="1" applyFill="1" applyAlignment="1" applyProtection="1">
      <alignment horizontal="right" vertical="top"/>
    </xf>
    <xf numFmtId="1" fontId="16" fillId="5" borderId="1" xfId="11" applyNumberFormat="1" applyFont="1" applyFill="1" applyBorder="1" applyProtection="1">
      <alignment horizontal="center" vertical="center" wrapText="1"/>
    </xf>
    <xf numFmtId="1" fontId="16" fillId="5" borderId="1" xfId="11" applyNumberFormat="1" applyFont="1" applyFill="1" applyBorder="1" applyAlignment="1" applyProtection="1">
      <alignment horizontal="center" vertical="center" wrapText="1"/>
    </xf>
    <xf numFmtId="0" fontId="91" fillId="5" borderId="1" xfId="11" applyFont="1" applyFill="1" applyBorder="1" applyAlignment="1" applyProtection="1">
      <alignment horizontal="center" vertical="center" wrapText="1"/>
    </xf>
    <xf numFmtId="49" fontId="42" fillId="0" borderId="1" xfId="0" applyNumberFormat="1" applyFont="1" applyFill="1" applyBorder="1" applyAlignment="1" applyProtection="1">
      <alignment vertical="top"/>
    </xf>
    <xf numFmtId="49" fontId="42" fillId="0" borderId="1" xfId="0" applyNumberFormat="1" applyFont="1" applyFill="1" applyBorder="1" applyAlignment="1" applyProtection="1">
      <alignment vertical="top" wrapText="1"/>
    </xf>
    <xf numFmtId="4" fontId="42" fillId="14" borderId="1" xfId="12" applyFont="1" applyFill="1" applyBorder="1" applyProtection="1">
      <alignment horizontal="right"/>
    </xf>
    <xf numFmtId="0" fontId="42" fillId="3" borderId="1" xfId="12" applyNumberFormat="1" applyFont="1" applyFill="1" applyBorder="1" applyAlignment="1" applyProtection="1">
      <alignment horizontal="right" wrapText="1"/>
      <protection locked="0"/>
    </xf>
    <xf numFmtId="49" fontId="16" fillId="0" borderId="1" xfId="0" applyNumberFormat="1" applyFont="1" applyFill="1" applyBorder="1" applyAlignment="1" applyProtection="1">
      <alignment vertical="top"/>
    </xf>
    <xf numFmtId="49" fontId="16" fillId="0" borderId="1" xfId="0" applyNumberFormat="1" applyFont="1" applyFill="1" applyBorder="1" applyAlignment="1" applyProtection="1">
      <alignment vertical="top" wrapText="1"/>
    </xf>
    <xf numFmtId="4" fontId="16" fillId="5" borderId="1" xfId="12" applyFont="1" applyFill="1" applyBorder="1" applyProtection="1">
      <alignment horizontal="right"/>
    </xf>
    <xf numFmtId="0" fontId="16" fillId="5" borderId="1" xfId="12" applyNumberFormat="1" applyFont="1" applyFill="1" applyBorder="1" applyAlignment="1" applyProtection="1">
      <alignment horizontal="right" wrapText="1"/>
    </xf>
    <xf numFmtId="4" fontId="16" fillId="3" borderId="1" xfId="12" applyFont="1" applyFill="1" applyBorder="1" applyProtection="1">
      <alignment horizontal="right"/>
      <protection locked="0"/>
    </xf>
    <xf numFmtId="0" fontId="16" fillId="3" borderId="1" xfId="12" applyNumberFormat="1" applyFont="1" applyFill="1" applyBorder="1" applyAlignment="1" applyProtection="1">
      <alignment horizontal="right" wrapText="1"/>
      <protection locked="0"/>
    </xf>
    <xf numFmtId="49" fontId="16" fillId="0" borderId="1" xfId="0" applyNumberFormat="1" applyFont="1" applyFill="1" applyBorder="1" applyAlignment="1" applyProtection="1">
      <alignment horizontal="left" vertical="top" wrapText="1" indent="2"/>
    </xf>
    <xf numFmtId="49" fontId="16" fillId="3" borderId="1" xfId="0" applyNumberFormat="1" applyFont="1" applyFill="1" applyBorder="1" applyAlignment="1" applyProtection="1">
      <alignment vertical="top" wrapText="1"/>
      <protection locked="0"/>
    </xf>
    <xf numFmtId="49" fontId="98" fillId="18" borderId="1" xfId="5" applyNumberFormat="1" applyFont="1" applyFill="1" applyBorder="1" applyAlignment="1" applyProtection="1">
      <alignment vertical="top" wrapText="1"/>
    </xf>
    <xf numFmtId="4" fontId="42" fillId="14" borderId="1" xfId="18" applyFont="1" applyFill="1" applyBorder="1" applyProtection="1">
      <alignment horizontal="right"/>
    </xf>
    <xf numFmtId="4" fontId="42" fillId="3" borderId="1" xfId="12" applyFont="1" applyFill="1" applyBorder="1" applyProtection="1">
      <alignment horizontal="right"/>
      <protection locked="0"/>
    </xf>
    <xf numFmtId="4" fontId="42" fillId="14" borderId="1" xfId="32" applyFont="1" applyFill="1" applyBorder="1" applyProtection="1">
      <alignment horizontal="right"/>
    </xf>
    <xf numFmtId="49" fontId="40" fillId="0" borderId="0" xfId="0" applyNumberFormat="1" applyFont="1" applyFill="1" applyBorder="1" applyAlignment="1" applyProtection="1">
      <alignment vertical="top"/>
    </xf>
    <xf numFmtId="49" fontId="40" fillId="0" borderId="0" xfId="0" applyNumberFormat="1" applyFont="1" applyFill="1" applyBorder="1" applyAlignment="1" applyProtection="1">
      <alignment vertical="top" wrapText="1"/>
    </xf>
    <xf numFmtId="49" fontId="40" fillId="0" borderId="0" xfId="0" applyNumberFormat="1" applyFont="1" applyBorder="1" applyAlignment="1" applyProtection="1">
      <alignment vertical="top"/>
    </xf>
    <xf numFmtId="49" fontId="39" fillId="0" borderId="0" xfId="0" applyNumberFormat="1" applyFont="1" applyFill="1" applyBorder="1" applyAlignment="1" applyProtection="1">
      <alignment vertical="top" wrapText="1"/>
    </xf>
    <xf numFmtId="49" fontId="0" fillId="0" borderId="0" xfId="0" applyNumberFormat="1" applyFill="1" applyProtection="1"/>
    <xf numFmtId="49" fontId="41" fillId="0" borderId="0" xfId="0" applyNumberFormat="1" applyFont="1" applyFill="1" applyAlignment="1" applyProtection="1">
      <alignment vertical="top"/>
    </xf>
    <xf numFmtId="0" fontId="26" fillId="0" borderId="0" xfId="0" applyFont="1" applyProtection="1"/>
    <xf numFmtId="0" fontId="53" fillId="5" borderId="39" xfId="0" applyNumberFormat="1" applyFont="1" applyFill="1" applyBorder="1" applyAlignment="1" applyProtection="1">
      <alignment horizontal="center" vertical="center" wrapText="1"/>
    </xf>
    <xf numFmtId="0" fontId="53" fillId="5" borderId="39" xfId="0" applyFont="1" applyFill="1" applyBorder="1" applyAlignment="1" applyProtection="1">
      <alignment horizontal="center" vertical="center" wrapText="1"/>
    </xf>
    <xf numFmtId="0" fontId="53" fillId="0" borderId="1" xfId="0" applyNumberFormat="1" applyFont="1" applyBorder="1" applyAlignment="1" applyProtection="1">
      <alignment horizontal="center" vertical="center" wrapText="1"/>
    </xf>
    <xf numFmtId="4" fontId="25" fillId="3" borderId="1" xfId="31" applyNumberFormat="1" applyFont="1" applyFill="1" applyBorder="1" applyAlignment="1" applyProtection="1">
      <alignment vertical="center" wrapText="1"/>
      <protection locked="0"/>
    </xf>
    <xf numFmtId="0" fontId="53" fillId="3" borderId="1" xfId="31" applyNumberFormat="1" applyFont="1" applyFill="1" applyBorder="1" applyAlignment="1" applyProtection="1">
      <alignment horizontal="center" vertical="center" wrapText="1"/>
      <protection locked="0"/>
    </xf>
    <xf numFmtId="0" fontId="25" fillId="14" borderId="1" xfId="31" applyFont="1" applyFill="1" applyBorder="1" applyAlignment="1" applyProtection="1">
      <alignment vertical="center" wrapText="1"/>
    </xf>
    <xf numFmtId="14" fontId="0" fillId="0" borderId="0" xfId="0" applyNumberFormat="1" applyProtection="1"/>
    <xf numFmtId="49" fontId="25" fillId="15" borderId="0" xfId="0" applyNumberFormat="1" applyFont="1" applyFill="1" applyAlignment="1" applyProtection="1"/>
    <xf numFmtId="14" fontId="25" fillId="15" borderId="0" xfId="0" applyNumberFormat="1" applyFont="1" applyFill="1" applyAlignment="1" applyProtection="1"/>
    <xf numFmtId="0" fontId="0" fillId="15" borderId="0" xfId="0" applyFill="1" applyAlignment="1" applyProtection="1">
      <alignment vertical="top"/>
    </xf>
    <xf numFmtId="1" fontId="40" fillId="5" borderId="1" xfId="0" applyNumberFormat="1" applyFont="1" applyFill="1" applyBorder="1" applyAlignment="1" applyProtection="1">
      <alignment horizontal="center" vertical="center" wrapText="1"/>
    </xf>
    <xf numFmtId="1" fontId="39"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39" fillId="0" borderId="1" xfId="0" applyFont="1" applyBorder="1" applyAlignment="1" applyProtection="1">
      <alignment horizontal="right" vertical="center" wrapText="1"/>
    </xf>
    <xf numFmtId="4" fontId="112" fillId="5" borderId="1" xfId="0" applyNumberFormat="1" applyFont="1" applyFill="1" applyBorder="1" applyAlignment="1" applyProtection="1">
      <alignment horizontal="center" vertical="center" wrapText="1"/>
    </xf>
    <xf numFmtId="4" fontId="40" fillId="14" borderId="1" xfId="0" applyNumberFormat="1" applyFont="1" applyFill="1" applyBorder="1" applyAlignment="1" applyProtection="1">
      <alignment horizontal="center" vertical="center"/>
    </xf>
    <xf numFmtId="170" fontId="40" fillId="3"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horizontal="right" vertical="center" wrapText="1"/>
    </xf>
    <xf numFmtId="49" fontId="40" fillId="0" borderId="1" xfId="0" applyNumberFormat="1" applyFont="1" applyBorder="1" applyAlignment="1" applyProtection="1">
      <alignment horizontal="left" vertical="center" wrapText="1"/>
    </xf>
    <xf numFmtId="14" fontId="40" fillId="3" borderId="1" xfId="0" applyNumberFormat="1" applyFont="1" applyFill="1" applyBorder="1" applyAlignment="1" applyProtection="1">
      <alignment horizontal="center" vertical="center" wrapText="1"/>
      <protection locked="0"/>
    </xf>
    <xf numFmtId="170" fontId="40" fillId="14" borderId="1" xfId="0" applyNumberFormat="1" applyFont="1" applyFill="1" applyBorder="1" applyAlignment="1" applyProtection="1">
      <alignment horizontal="center" vertical="center" wrapText="1"/>
    </xf>
    <xf numFmtId="49" fontId="113" fillId="17" borderId="1" xfId="5" applyNumberFormat="1" applyFont="1" applyFill="1" applyBorder="1" applyAlignment="1" applyProtection="1">
      <alignment horizontal="right" vertical="center" wrapText="1"/>
    </xf>
    <xf numFmtId="49" fontId="28" fillId="0" borderId="1" xfId="25" applyNumberFormat="1" applyFill="1" applyBorder="1" applyAlignment="1" applyProtection="1">
      <alignment horizontal="left" vertical="center" wrapText="1"/>
    </xf>
    <xf numFmtId="49" fontId="113" fillId="19" borderId="1" xfId="5" applyNumberFormat="1" applyFont="1" applyFill="1" applyBorder="1" applyAlignment="1" applyProtection="1">
      <alignment vertical="top" wrapText="1"/>
    </xf>
    <xf numFmtId="14" fontId="113" fillId="19" borderId="1" xfId="5" applyNumberFormat="1" applyFont="1" applyFill="1" applyBorder="1" applyAlignment="1" applyProtection="1">
      <alignment vertical="top" wrapText="1"/>
    </xf>
    <xf numFmtId="4" fontId="113" fillId="19" borderId="1" xfId="5" applyNumberFormat="1" applyFont="1" applyFill="1" applyBorder="1" applyAlignment="1" applyProtection="1">
      <alignment vertical="top" wrapText="1"/>
    </xf>
    <xf numFmtId="49" fontId="40" fillId="5" borderId="1" xfId="0" applyNumberFormat="1" applyFont="1" applyFill="1" applyBorder="1" applyAlignment="1" applyProtection="1">
      <alignment horizontal="center" vertical="center" wrapText="1"/>
    </xf>
    <xf numFmtId="14" fontId="40" fillId="5" borderId="1" xfId="0" applyNumberFormat="1" applyFont="1" applyFill="1" applyBorder="1" applyAlignment="1" applyProtection="1">
      <alignment horizontal="center" vertical="center" wrapText="1"/>
    </xf>
    <xf numFmtId="4" fontId="40" fillId="5" borderId="1" xfId="0" applyNumberFormat="1" applyFont="1" applyFill="1" applyBorder="1" applyAlignment="1" applyProtection="1">
      <alignment horizontal="center" vertical="center" wrapText="1"/>
    </xf>
    <xf numFmtId="49" fontId="41" fillId="0" borderId="1" xfId="0" applyNumberFormat="1" applyFont="1" applyBorder="1" applyAlignment="1" applyProtection="1">
      <alignment vertical="center" wrapText="1"/>
    </xf>
    <xf numFmtId="4" fontId="40" fillId="5" borderId="1" xfId="0" applyNumberFormat="1" applyFont="1" applyFill="1" applyBorder="1" applyAlignment="1" applyProtection="1">
      <alignment horizontal="center" vertical="center"/>
    </xf>
    <xf numFmtId="0" fontId="114" fillId="0" borderId="0" xfId="5" applyFont="1" applyAlignment="1" applyProtection="1">
      <alignment vertical="top"/>
    </xf>
    <xf numFmtId="0" fontId="115" fillId="0" borderId="0" xfId="0" applyFont="1" applyBorder="1" applyAlignment="1" applyProtection="1">
      <alignment horizontal="center" vertical="center" wrapText="1"/>
    </xf>
    <xf numFmtId="0" fontId="116" fillId="0" borderId="0" xfId="0" applyFont="1" applyBorder="1" applyAlignment="1" applyProtection="1">
      <alignment horizontal="left" vertical="center"/>
    </xf>
    <xf numFmtId="0" fontId="0" fillId="0" borderId="0" xfId="0" applyBorder="1" applyAlignment="1" applyProtection="1">
      <alignment horizontal="center" vertical="center" wrapText="1"/>
    </xf>
    <xf numFmtId="0" fontId="119" fillId="0" borderId="1" xfId="0" applyFont="1" applyBorder="1" applyAlignment="1" applyProtection="1">
      <alignment horizontal="center" vertical="center" wrapText="1"/>
    </xf>
    <xf numFmtId="0" fontId="119" fillId="3" borderId="1" xfId="0" applyFont="1" applyFill="1" applyBorder="1" applyAlignment="1" applyProtection="1">
      <alignment vertical="center" wrapText="1"/>
      <protection locked="0" hidden="1"/>
    </xf>
    <xf numFmtId="0" fontId="119" fillId="3" borderId="1" xfId="0" applyFont="1" applyFill="1" applyBorder="1" applyAlignment="1" applyProtection="1">
      <alignment vertical="center" wrapText="1"/>
      <protection locked="0"/>
    </xf>
    <xf numFmtId="0" fontId="119" fillId="5" borderId="1" xfId="0" applyFont="1" applyFill="1" applyBorder="1" applyAlignment="1" applyProtection="1">
      <alignment vertical="center" wrapText="1"/>
    </xf>
    <xf numFmtId="0" fontId="120" fillId="0" borderId="1" xfId="0" applyFont="1" applyBorder="1" applyAlignment="1" applyProtection="1">
      <alignment horizontal="center" vertical="center" wrapText="1"/>
    </xf>
    <xf numFmtId="0" fontId="120" fillId="0" borderId="1" xfId="0" applyFont="1" applyBorder="1" applyAlignment="1" applyProtection="1">
      <alignment horizontal="left" vertical="center" wrapText="1"/>
    </xf>
    <xf numFmtId="4" fontId="119" fillId="14" borderId="1" xfId="0" applyNumberFormat="1" applyFont="1" applyFill="1" applyBorder="1" applyAlignment="1" applyProtection="1">
      <alignment wrapText="1"/>
    </xf>
    <xf numFmtId="4" fontId="119" fillId="5" borderId="1" xfId="0" applyNumberFormat="1" applyFont="1" applyFill="1" applyBorder="1" applyAlignment="1" applyProtection="1">
      <alignment vertical="center" wrapText="1"/>
    </xf>
    <xf numFmtId="0" fontId="0" fillId="3" borderId="1" xfId="0" applyFill="1" applyBorder="1" applyAlignment="1" applyProtection="1">
      <alignment vertical="center" wrapText="1"/>
      <protection locked="0"/>
    </xf>
    <xf numFmtId="4" fontId="0" fillId="3" borderId="1" xfId="0" applyNumberFormat="1" applyFill="1" applyBorder="1" applyAlignment="1" applyProtection="1">
      <alignment vertical="center" wrapText="1"/>
      <protection locked="0"/>
    </xf>
    <xf numFmtId="0" fontId="28" fillId="0" borderId="1" xfId="25" quotePrefix="1" applyBorder="1" applyAlignment="1" applyProtection="1">
      <alignment wrapText="1"/>
    </xf>
    <xf numFmtId="4" fontId="60" fillId="17" borderId="1" xfId="5" applyNumberFormat="1" applyFont="1" applyFill="1" applyBorder="1" applyAlignment="1" applyProtection="1">
      <alignment horizontal="left" vertical="top" wrapText="1"/>
    </xf>
    <xf numFmtId="17" fontId="0" fillId="3" borderId="1" xfId="0" applyNumberFormat="1" applyFill="1" applyBorder="1" applyAlignment="1" applyProtection="1">
      <alignment vertical="center" wrapText="1"/>
      <protection locked="0"/>
    </xf>
    <xf numFmtId="0" fontId="119" fillId="0" borderId="1" xfId="0" applyFont="1" applyBorder="1" applyAlignment="1" applyProtection="1">
      <alignment horizontal="left" vertical="center" wrapText="1"/>
    </xf>
    <xf numFmtId="0" fontId="120" fillId="0" borderId="1" xfId="0" applyFont="1" applyBorder="1" applyAlignment="1" applyProtection="1">
      <alignment horizontal="center" vertical="center"/>
    </xf>
    <xf numFmtId="0" fontId="120" fillId="0" borderId="1" xfId="0" applyFont="1" applyBorder="1" applyAlignment="1" applyProtection="1">
      <alignment horizontal="left" vertical="center"/>
    </xf>
    <xf numFmtId="4" fontId="120" fillId="14" borderId="1" xfId="0" applyNumberFormat="1" applyFont="1" applyFill="1" applyBorder="1" applyProtection="1"/>
    <xf numFmtId="4" fontId="120" fillId="5" borderId="1" xfId="0" applyNumberFormat="1" applyFont="1" applyFill="1" applyBorder="1" applyProtection="1"/>
    <xf numFmtId="4" fontId="120" fillId="5" borderId="1" xfId="0" applyNumberFormat="1" applyFont="1" applyFill="1" applyBorder="1" applyAlignment="1" applyProtection="1">
      <alignment horizontal="left" vertical="center"/>
    </xf>
    <xf numFmtId="0" fontId="40" fillId="0" borderId="0" xfId="0" applyFont="1" applyProtection="1"/>
    <xf numFmtId="0" fontId="40" fillId="0" borderId="0" xfId="0" applyFont="1" applyAlignment="1" applyProtection="1">
      <alignment vertical="top"/>
    </xf>
    <xf numFmtId="0" fontId="40" fillId="0" borderId="0" xfId="0" applyFont="1" applyAlignment="1" applyProtection="1">
      <alignment horizontal="right" vertical="center"/>
    </xf>
    <xf numFmtId="0" fontId="40" fillId="0" borderId="0" xfId="0" applyFont="1" applyAlignment="1" applyProtection="1">
      <alignment vertical="center"/>
    </xf>
    <xf numFmtId="0" fontId="121" fillId="0" borderId="0" xfId="0" applyFont="1" applyAlignment="1" applyProtection="1">
      <alignment horizontal="right"/>
    </xf>
    <xf numFmtId="0" fontId="122" fillId="0" borderId="0" xfId="0" applyFont="1" applyAlignment="1" applyProtection="1">
      <alignment horizontal="right"/>
    </xf>
    <xf numFmtId="0" fontId="40" fillId="0" borderId="0" xfId="0" applyFont="1" applyAlignment="1" applyProtection="1">
      <alignment horizontal="right"/>
    </xf>
    <xf numFmtId="0" fontId="39" fillId="0" borderId="0" xfId="17" applyFont="1" applyAlignment="1" applyProtection="1">
      <alignment horizontal="center" vertical="center" wrapText="1"/>
    </xf>
    <xf numFmtId="0" fontId="39" fillId="0" borderId="0" xfId="17" applyFont="1" applyAlignment="1" applyProtection="1">
      <alignment vertical="center" wrapText="1"/>
    </xf>
    <xf numFmtId="0" fontId="40" fillId="0" borderId="0" xfId="17" applyFont="1" applyAlignment="1" applyProtection="1">
      <alignment horizontal="center" vertical="center" wrapText="1"/>
    </xf>
    <xf numFmtId="0" fontId="40" fillId="0" borderId="0" xfId="17" applyFont="1" applyAlignment="1" applyProtection="1">
      <alignment vertical="center" wrapText="1"/>
    </xf>
    <xf numFmtId="0" fontId="120" fillId="0" borderId="0" xfId="0" applyFont="1" applyProtection="1"/>
    <xf numFmtId="0" fontId="118" fillId="0" borderId="0" xfId="0" applyFont="1" applyBorder="1" applyAlignment="1" applyProtection="1"/>
    <xf numFmtId="0" fontId="118" fillId="0" borderId="0" xfId="0" applyFont="1" applyBorder="1" applyAlignment="1" applyProtection="1">
      <alignment horizontal="right"/>
    </xf>
    <xf numFmtId="1" fontId="119" fillId="5" borderId="1" xfId="0" applyNumberFormat="1" applyFont="1" applyFill="1" applyBorder="1" applyAlignment="1" applyProtection="1">
      <alignment horizontal="center" vertical="center"/>
    </xf>
    <xf numFmtId="0" fontId="119" fillId="0" borderId="1" xfId="0" applyFont="1" applyBorder="1" applyAlignment="1" applyProtection="1">
      <alignment horizontal="center" vertical="center"/>
    </xf>
    <xf numFmtId="1" fontId="39" fillId="3" borderId="47" xfId="0" applyNumberFormat="1" applyFont="1" applyFill="1" applyBorder="1" applyAlignment="1" applyProtection="1">
      <alignment horizontal="center" vertical="center" wrapText="1"/>
      <protection locked="0"/>
    </xf>
    <xf numFmtId="2" fontId="39" fillId="5" borderId="1" xfId="0" applyNumberFormat="1" applyFont="1" applyFill="1" applyBorder="1" applyAlignment="1" applyProtection="1">
      <alignment horizontal="center" vertical="center" wrapText="1"/>
    </xf>
    <xf numFmtId="2" fontId="39"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120" fillId="3" borderId="48" xfId="0" applyFont="1" applyFill="1" applyBorder="1" applyAlignment="1" applyProtection="1">
      <alignment horizontal="center" vertical="center" wrapText="1"/>
      <protection locked="0"/>
    </xf>
    <xf numFmtId="2" fontId="120" fillId="14" borderId="1" xfId="0" applyNumberFormat="1" applyFont="1" applyFill="1" applyBorder="1" applyAlignment="1" applyProtection="1">
      <alignment wrapText="1"/>
    </xf>
    <xf numFmtId="4" fontId="120" fillId="3" borderId="1" xfId="0" applyNumberFormat="1" applyFont="1" applyFill="1" applyBorder="1" applyAlignment="1" applyProtection="1">
      <alignment wrapText="1"/>
      <protection locked="0"/>
    </xf>
    <xf numFmtId="2" fontId="120" fillId="3" borderId="1" xfId="0" applyNumberFormat="1" applyFont="1" applyFill="1" applyBorder="1" applyAlignment="1" applyProtection="1">
      <alignment wrapText="1"/>
      <protection locked="0"/>
    </xf>
    <xf numFmtId="0" fontId="120" fillId="3" borderId="1" xfId="0" applyNumberFormat="1" applyFont="1" applyFill="1" applyBorder="1" applyAlignment="1" applyProtection="1">
      <alignment wrapText="1"/>
      <protection locked="0"/>
    </xf>
    <xf numFmtId="2" fontId="119" fillId="14" borderId="1" xfId="0" applyNumberFormat="1" applyFont="1" applyFill="1" applyBorder="1" applyAlignment="1" applyProtection="1">
      <alignment wrapText="1"/>
    </xf>
    <xf numFmtId="0" fontId="119" fillId="3" borderId="48" xfId="0" applyFont="1" applyFill="1" applyBorder="1" applyAlignment="1" applyProtection="1">
      <alignment horizontal="center" vertical="center" wrapText="1"/>
      <protection locked="0"/>
    </xf>
    <xf numFmtId="0" fontId="119" fillId="3" borderId="1" xfId="0" applyNumberFormat="1" applyFont="1" applyFill="1" applyBorder="1" applyAlignment="1" applyProtection="1">
      <alignment wrapText="1"/>
      <protection locked="0"/>
    </xf>
    <xf numFmtId="49" fontId="123" fillId="0" borderId="1" xfId="0" applyNumberFormat="1" applyFont="1" applyFill="1" applyBorder="1" applyAlignment="1" applyProtection="1">
      <alignment horizontal="center" vertical="center"/>
    </xf>
    <xf numFmtId="0" fontId="123" fillId="0" borderId="1" xfId="0" applyFont="1" applyFill="1" applyBorder="1" applyAlignment="1" applyProtection="1">
      <alignment horizontal="left" vertical="center" wrapText="1"/>
    </xf>
    <xf numFmtId="0" fontId="124" fillId="0" borderId="1" xfId="0" applyFont="1" applyFill="1" applyBorder="1" applyAlignment="1" applyProtection="1">
      <alignment horizontal="center" vertical="center"/>
    </xf>
    <xf numFmtId="2" fontId="120" fillId="3" borderId="48" xfId="0" applyNumberFormat="1" applyFont="1" applyFill="1" applyBorder="1" applyAlignment="1" applyProtection="1">
      <alignment horizontal="right" vertical="center"/>
      <protection locked="0"/>
    </xf>
    <xf numFmtId="2" fontId="120" fillId="14" borderId="1" xfId="0" applyNumberFormat="1" applyFont="1" applyFill="1" applyBorder="1" applyAlignment="1" applyProtection="1">
      <alignment horizontal="right" vertical="center"/>
    </xf>
    <xf numFmtId="10" fontId="120" fillId="3" borderId="48" xfId="21" applyNumberFormat="1" applyFont="1" applyFill="1" applyBorder="1" applyAlignment="1" applyProtection="1">
      <alignment horizontal="right" vertical="center"/>
      <protection locked="0"/>
    </xf>
    <xf numFmtId="10" fontId="120" fillId="14" borderId="48" xfId="21" applyNumberFormat="1" applyFont="1" applyFill="1" applyBorder="1" applyAlignment="1" applyProtection="1">
      <alignment horizontal="right" vertical="center"/>
    </xf>
    <xf numFmtId="2" fontId="120" fillId="5" borderId="1" xfId="0" applyNumberFormat="1" applyFont="1" applyFill="1" applyBorder="1" applyAlignment="1" applyProtection="1">
      <alignment horizontal="right" vertical="center"/>
    </xf>
    <xf numFmtId="2" fontId="124" fillId="5" borderId="1" xfId="0" applyNumberFormat="1" applyFont="1" applyFill="1" applyBorder="1" applyProtection="1"/>
    <xf numFmtId="49" fontId="125" fillId="0" borderId="1" xfId="0" applyNumberFormat="1" applyFont="1" applyFill="1" applyBorder="1" applyAlignment="1" applyProtection="1">
      <alignment horizontal="center" vertical="center"/>
    </xf>
    <xf numFmtId="0" fontId="125" fillId="0" borderId="1" xfId="0" applyFont="1" applyFill="1" applyBorder="1" applyAlignment="1" applyProtection="1">
      <alignment horizontal="left" vertical="center" wrapText="1"/>
    </xf>
    <xf numFmtId="0" fontId="110" fillId="0" borderId="1" xfId="0" applyFont="1" applyFill="1" applyBorder="1" applyAlignment="1" applyProtection="1">
      <alignment horizontal="center" vertical="center"/>
    </xf>
    <xf numFmtId="49" fontId="120" fillId="0" borderId="1" xfId="0" applyNumberFormat="1" applyFont="1" applyFill="1" applyBorder="1" applyAlignment="1" applyProtection="1">
      <alignment horizontal="center" vertical="center"/>
    </xf>
    <xf numFmtId="0" fontId="120" fillId="0" borderId="1" xfId="0" applyFont="1" applyFill="1" applyBorder="1" applyAlignment="1" applyProtection="1">
      <alignment horizontal="left" vertical="center" wrapText="1"/>
    </xf>
    <xf numFmtId="0" fontId="15" fillId="0" borderId="1" xfId="0" applyFont="1" applyFill="1" applyBorder="1" applyAlignment="1" applyProtection="1">
      <alignment horizontal="center" vertical="center"/>
    </xf>
    <xf numFmtId="49" fontId="5" fillId="8" borderId="0" xfId="15" applyNumberFormat="1" applyFont="1" applyFill="1" applyProtection="1">
      <alignment vertical="top"/>
    </xf>
    <xf numFmtId="0" fontId="5" fillId="8" borderId="0" xfId="15" applyNumberFormat="1" applyFont="1" applyFill="1" applyProtection="1">
      <alignment vertical="top"/>
    </xf>
    <xf numFmtId="0" fontId="5" fillId="8" borderId="0" xfId="15" applyNumberFormat="1" applyFont="1" applyFill="1" applyAlignment="1" applyProtection="1">
      <alignment vertical="center"/>
    </xf>
    <xf numFmtId="49" fontId="5" fillId="0" borderId="0" xfId="15" applyAlignment="1" applyProtection="1">
      <alignment vertical="center"/>
    </xf>
    <xf numFmtId="49" fontId="33" fillId="0" borderId="0" xfId="15" applyFont="1" applyFill="1" applyBorder="1" applyAlignment="1" applyProtection="1">
      <alignment vertical="center"/>
    </xf>
    <xf numFmtId="49" fontId="33" fillId="0" borderId="0" xfId="15" applyFont="1" applyFill="1" applyProtection="1">
      <alignment vertical="top"/>
    </xf>
    <xf numFmtId="49" fontId="5" fillId="8" borderId="0" xfId="15" applyFont="1" applyFill="1" applyBorder="1" applyAlignment="1" applyProtection="1">
      <alignment horizontal="center"/>
    </xf>
    <xf numFmtId="0" fontId="5" fillId="8" borderId="0" xfId="15" applyNumberFormat="1" applyFont="1" applyFill="1" applyBorder="1" applyProtection="1">
      <alignment vertical="top"/>
    </xf>
    <xf numFmtId="0" fontId="5" fillId="8" borderId="52" xfId="15" applyNumberFormat="1" applyFont="1" applyFill="1" applyBorder="1" applyAlignment="1" applyProtection="1">
      <alignment horizontal="center" vertical="center" wrapText="1"/>
    </xf>
    <xf numFmtId="49" fontId="5" fillId="0" borderId="52" xfId="15" applyFont="1" applyBorder="1" applyAlignment="1" applyProtection="1">
      <alignment horizontal="center" vertical="center"/>
    </xf>
    <xf numFmtId="49" fontId="5" fillId="0" borderId="52" xfId="15" applyFont="1" applyBorder="1" applyAlignment="1" applyProtection="1">
      <alignment horizontal="center" vertical="center" wrapText="1"/>
    </xf>
    <xf numFmtId="0" fontId="5" fillId="4" borderId="51" xfId="15" applyNumberFormat="1" applyFont="1" applyFill="1" applyBorder="1" applyAlignment="1" applyProtection="1">
      <alignment horizontal="center" vertical="center"/>
    </xf>
    <xf numFmtId="0" fontId="5" fillId="0" borderId="52" xfId="15" applyNumberFormat="1" applyFont="1" applyBorder="1" applyAlignment="1" applyProtection="1">
      <alignment horizontal="center" vertical="center" wrapText="1"/>
    </xf>
    <xf numFmtId="0" fontId="5" fillId="4" borderId="53" xfId="15" applyNumberFormat="1" applyFont="1" applyFill="1" applyBorder="1" applyAlignment="1" applyProtection="1">
      <alignment horizontal="center" vertical="center" wrapText="1"/>
    </xf>
    <xf numFmtId="49" fontId="5" fillId="8" borderId="52" xfId="15" applyNumberFormat="1" applyFont="1" applyFill="1" applyBorder="1" applyAlignment="1" applyProtection="1">
      <alignment horizontal="center" vertical="center"/>
    </xf>
    <xf numFmtId="49" fontId="33" fillId="0" borderId="52" xfId="15" applyFont="1" applyFill="1" applyBorder="1" applyAlignment="1" applyProtection="1">
      <alignment vertical="center"/>
    </xf>
    <xf numFmtId="49" fontId="33" fillId="0" borderId="52" xfId="15" applyFont="1" applyFill="1" applyBorder="1" applyAlignment="1" applyProtection="1">
      <alignment horizontal="center" vertical="center"/>
    </xf>
    <xf numFmtId="168" fontId="33" fillId="4" borderId="51" xfId="15" applyNumberFormat="1" applyFont="1" applyFill="1" applyBorder="1" applyAlignment="1" applyProtection="1">
      <alignment horizontal="right" vertical="center"/>
    </xf>
    <xf numFmtId="168" fontId="33" fillId="4" borderId="52" xfId="15" applyNumberFormat="1" applyFont="1" applyFill="1" applyBorder="1" applyAlignment="1" applyProtection="1">
      <alignment horizontal="right" vertical="center"/>
    </xf>
    <xf numFmtId="168" fontId="33" fillId="4" borderId="53" xfId="15" applyNumberFormat="1" applyFont="1" applyFill="1" applyBorder="1" applyAlignment="1" applyProtection="1">
      <alignment horizontal="right" vertical="center"/>
    </xf>
    <xf numFmtId="49" fontId="5" fillId="0" borderId="52" xfId="15" applyFont="1" applyBorder="1" applyAlignment="1" applyProtection="1">
      <alignment vertical="center"/>
    </xf>
    <xf numFmtId="49" fontId="5" fillId="0" borderId="52" xfId="15" applyFont="1" applyFill="1" applyBorder="1" applyAlignment="1" applyProtection="1">
      <alignment horizontal="center" vertical="center"/>
    </xf>
    <xf numFmtId="168" fontId="5" fillId="4" borderId="51" xfId="15" applyNumberFormat="1" applyFont="1" applyFill="1" applyBorder="1" applyAlignment="1" applyProtection="1">
      <alignment horizontal="right" vertical="center"/>
    </xf>
    <xf numFmtId="168" fontId="5" fillId="4" borderId="52" xfId="15" applyNumberFormat="1" applyFont="1" applyFill="1" applyBorder="1" applyAlignment="1" applyProtection="1">
      <alignment horizontal="right" vertical="center"/>
    </xf>
    <xf numFmtId="168" fontId="5" fillId="4" borderId="53" xfId="15" applyNumberFormat="1" applyFont="1" applyFill="1" applyBorder="1" applyAlignment="1" applyProtection="1">
      <alignment horizontal="right" vertical="center"/>
    </xf>
    <xf numFmtId="49" fontId="5" fillId="0" borderId="52" xfId="15" applyFont="1" applyFill="1" applyBorder="1" applyAlignment="1" applyProtection="1">
      <alignment vertical="center"/>
    </xf>
    <xf numFmtId="49" fontId="5" fillId="0" borderId="52" xfId="15" applyFill="1" applyBorder="1" applyAlignment="1" applyProtection="1">
      <alignment vertical="center"/>
    </xf>
    <xf numFmtId="168" fontId="5" fillId="0" borderId="51" xfId="15" applyNumberFormat="1" applyFont="1" applyFill="1" applyBorder="1" applyAlignment="1" applyProtection="1">
      <alignment horizontal="right" vertical="center"/>
    </xf>
    <xf numFmtId="168" fontId="5" fillId="0" borderId="52" xfId="15" applyNumberFormat="1" applyFont="1" applyFill="1" applyBorder="1" applyAlignment="1" applyProtection="1">
      <alignment horizontal="right" vertical="center"/>
    </xf>
    <xf numFmtId="168" fontId="5" fillId="0" borderId="53" xfId="15" applyNumberFormat="1" applyFont="1" applyFill="1" applyBorder="1" applyAlignment="1" applyProtection="1">
      <alignment horizontal="right" vertical="center"/>
    </xf>
    <xf numFmtId="168" fontId="5" fillId="10" borderId="51" xfId="15" applyNumberFormat="1" applyFont="1" applyFill="1" applyBorder="1" applyAlignment="1" applyProtection="1">
      <alignment horizontal="right" vertical="center"/>
      <protection locked="0"/>
    </xf>
    <xf numFmtId="168" fontId="5" fillId="10" borderId="52" xfId="15" applyNumberFormat="1" applyFont="1" applyFill="1" applyBorder="1" applyAlignment="1" applyProtection="1">
      <alignment horizontal="right" vertical="center"/>
      <protection locked="0"/>
    </xf>
    <xf numFmtId="168" fontId="5" fillId="10" borderId="53" xfId="15" applyNumberFormat="1" applyFont="1" applyFill="1" applyBorder="1" applyAlignment="1" applyProtection="1">
      <alignment horizontal="right" vertical="center"/>
      <protection locked="0"/>
    </xf>
    <xf numFmtId="49" fontId="5" fillId="8" borderId="52" xfId="15" applyNumberFormat="1" applyFill="1" applyBorder="1" applyAlignment="1" applyProtection="1">
      <alignment horizontal="center" vertical="center"/>
    </xf>
    <xf numFmtId="0" fontId="5" fillId="0" borderId="0" xfId="15" applyNumberFormat="1" applyFont="1" applyFill="1" applyBorder="1" applyProtection="1">
      <alignment vertical="top"/>
    </xf>
    <xf numFmtId="0" fontId="5" fillId="0" borderId="0" xfId="15" applyNumberFormat="1" applyFont="1" applyFill="1" applyProtection="1">
      <alignment vertical="top"/>
    </xf>
    <xf numFmtId="0" fontId="5" fillId="8" borderId="0" xfId="15" applyNumberFormat="1" applyFont="1" applyFill="1" applyBorder="1" applyAlignment="1" applyProtection="1">
      <alignment vertical="center"/>
    </xf>
    <xf numFmtId="49" fontId="5" fillId="8" borderId="0" xfId="15" applyFont="1" applyFill="1" applyBorder="1" applyAlignment="1" applyProtection="1">
      <alignment vertical="center"/>
    </xf>
    <xf numFmtId="49" fontId="5" fillId="8" borderId="0" xfId="15" applyFont="1" applyFill="1" applyBorder="1" applyAlignment="1" applyProtection="1">
      <alignment horizontal="center" vertical="center"/>
    </xf>
    <xf numFmtId="0" fontId="5" fillId="0" borderId="12" xfId="15" applyNumberFormat="1" applyFont="1" applyFill="1" applyBorder="1" applyAlignment="1" applyProtection="1">
      <alignment horizontal="right" vertical="center"/>
    </xf>
    <xf numFmtId="0" fontId="5" fillId="0" borderId="0" xfId="15" applyNumberFormat="1" applyFont="1" applyFill="1" applyBorder="1" applyAlignment="1" applyProtection="1">
      <alignment horizontal="right" vertical="center"/>
    </xf>
    <xf numFmtId="49" fontId="33" fillId="11" borderId="52" xfId="15" applyFont="1" applyFill="1" applyBorder="1" applyAlignment="1" applyProtection="1">
      <alignment vertical="center"/>
    </xf>
    <xf numFmtId="49" fontId="5" fillId="0" borderId="52" xfId="15" applyFont="1" applyFill="1" applyBorder="1" applyAlignment="1" applyProtection="1">
      <alignment vertical="center" wrapText="1"/>
    </xf>
    <xf numFmtId="49" fontId="5" fillId="0" borderId="52" xfId="15" applyFill="1" applyBorder="1" applyAlignment="1" applyProtection="1">
      <alignment horizontal="left" vertical="center" wrapText="1"/>
    </xf>
    <xf numFmtId="49" fontId="5" fillId="0" borderId="52" xfId="15" applyFill="1" applyBorder="1" applyAlignment="1" applyProtection="1">
      <alignment horizontal="left" vertical="center"/>
    </xf>
    <xf numFmtId="49" fontId="5" fillId="0" borderId="52" xfId="15" applyFill="1" applyBorder="1" applyAlignment="1" applyProtection="1">
      <alignment horizontal="center" vertical="center"/>
    </xf>
    <xf numFmtId="10" fontId="5" fillId="4" borderId="51" xfId="15" applyNumberFormat="1" applyFont="1" applyFill="1" applyBorder="1" applyAlignment="1" applyProtection="1">
      <alignment horizontal="right" vertical="center"/>
    </xf>
    <xf numFmtId="3" fontId="5" fillId="4" borderId="51" xfId="15" applyNumberFormat="1" applyFont="1" applyFill="1" applyBorder="1" applyAlignment="1" applyProtection="1">
      <alignment horizontal="right" vertical="center"/>
    </xf>
    <xf numFmtId="168" fontId="5" fillId="4" borderId="51" xfId="15" applyNumberFormat="1" applyFill="1" applyBorder="1" applyAlignment="1" applyProtection="1">
      <alignment horizontal="right" vertical="center"/>
    </xf>
    <xf numFmtId="168" fontId="57" fillId="4" borderId="53" xfId="15" applyNumberFormat="1" applyFont="1" applyFill="1" applyBorder="1" applyAlignment="1" applyProtection="1">
      <alignment horizontal="right" vertical="center"/>
    </xf>
    <xf numFmtId="49" fontId="5" fillId="0" borderId="52" xfId="15" applyFont="1" applyBorder="1" applyAlignment="1" applyProtection="1">
      <alignment horizontal="left" vertical="center" wrapText="1" indent="1"/>
    </xf>
    <xf numFmtId="49" fontId="5" fillId="0" borderId="52" xfId="15" applyNumberFormat="1" applyFill="1" applyBorder="1" applyAlignment="1" applyProtection="1">
      <alignment horizontal="center" vertical="center"/>
    </xf>
    <xf numFmtId="0" fontId="5" fillId="0" borderId="52" xfId="15" applyNumberFormat="1" applyFill="1" applyBorder="1" applyAlignment="1" applyProtection="1">
      <alignment horizontal="left" vertical="center" indent="2"/>
    </xf>
    <xf numFmtId="168" fontId="5" fillId="11" borderId="51" xfId="15" applyNumberFormat="1" applyFont="1" applyFill="1" applyBorder="1" applyAlignment="1" applyProtection="1">
      <alignment horizontal="right" vertical="center"/>
    </xf>
    <xf numFmtId="168" fontId="5" fillId="11" borderId="52" xfId="15" applyNumberFormat="1" applyFont="1" applyFill="1" applyBorder="1" applyAlignment="1" applyProtection="1">
      <alignment horizontal="right" vertical="center"/>
    </xf>
    <xf numFmtId="168" fontId="5" fillId="11" borderId="53" xfId="15" applyNumberFormat="1" applyFont="1" applyFill="1" applyBorder="1" applyAlignment="1" applyProtection="1">
      <alignment horizontal="right" vertical="center"/>
    </xf>
    <xf numFmtId="0" fontId="33" fillId="0" borderId="0" xfId="15" applyNumberFormat="1" applyFont="1" applyFill="1" applyProtection="1">
      <alignment vertical="top"/>
    </xf>
    <xf numFmtId="14" fontId="5" fillId="0" borderId="52" xfId="15" applyNumberFormat="1" applyFill="1" applyBorder="1" applyAlignment="1" applyProtection="1">
      <alignment horizontal="center" vertical="center"/>
    </xf>
    <xf numFmtId="4" fontId="5" fillId="10" borderId="51" xfId="15" applyNumberFormat="1" applyFont="1" applyFill="1" applyBorder="1" applyAlignment="1" applyProtection="1">
      <alignment horizontal="right" vertical="center"/>
      <protection locked="0"/>
    </xf>
    <xf numFmtId="49" fontId="5" fillId="17" borderId="11" xfId="15" applyNumberFormat="1" applyFont="1" applyFill="1" applyBorder="1" applyAlignment="1" applyProtection="1">
      <alignment horizontal="center" vertical="center"/>
    </xf>
    <xf numFmtId="0" fontId="5" fillId="17" borderId="12" xfId="15" applyNumberFormat="1" applyFill="1" applyBorder="1" applyAlignment="1" applyProtection="1">
      <alignment horizontal="left" vertical="center" indent="2"/>
    </xf>
    <xf numFmtId="49" fontId="5" fillId="17" borderId="9" xfId="15" applyFont="1" applyFill="1" applyBorder="1" applyAlignment="1" applyProtection="1">
      <alignment horizontal="center" vertical="center"/>
    </xf>
    <xf numFmtId="168" fontId="5" fillId="17" borderId="51" xfId="15" applyNumberFormat="1" applyFont="1" applyFill="1" applyBorder="1" applyAlignment="1" applyProtection="1">
      <alignment horizontal="right" vertical="center"/>
    </xf>
    <xf numFmtId="168" fontId="5" fillId="17" borderId="52" xfId="15" applyNumberFormat="1" applyFont="1" applyFill="1" applyBorder="1" applyAlignment="1" applyProtection="1">
      <alignment horizontal="right" vertical="center"/>
    </xf>
    <xf numFmtId="168" fontId="5" fillId="17" borderId="53" xfId="15" applyNumberFormat="1" applyFont="1" applyFill="1" applyBorder="1" applyAlignment="1" applyProtection="1">
      <alignment horizontal="right" vertical="center"/>
    </xf>
    <xf numFmtId="49" fontId="5" fillId="0" borderId="52" xfId="15" applyFont="1" applyBorder="1" applyAlignment="1" applyProtection="1">
      <alignment horizontal="left" vertical="center" indent="1"/>
    </xf>
    <xf numFmtId="49" fontId="126" fillId="0" borderId="52" xfId="15" applyFont="1" applyFill="1" applyBorder="1" applyAlignment="1" applyProtection="1">
      <alignment vertical="center"/>
    </xf>
    <xf numFmtId="0" fontId="5" fillId="0" borderId="52" xfId="15" applyNumberFormat="1" applyFont="1" applyFill="1" applyBorder="1" applyAlignment="1" applyProtection="1">
      <alignment horizontal="center" vertical="center"/>
    </xf>
    <xf numFmtId="49" fontId="32" fillId="0" borderId="0" xfId="15" applyFont="1" applyFill="1" applyAlignment="1" applyProtection="1"/>
    <xf numFmtId="49" fontId="5" fillId="0" borderId="0" xfId="15" applyFill="1" applyAlignment="1" applyProtection="1"/>
    <xf numFmtId="49" fontId="5" fillId="0" borderId="52" xfId="15" applyBorder="1" applyAlignment="1" applyProtection="1">
      <alignment horizontal="left" vertical="center" indent="1"/>
    </xf>
    <xf numFmtId="49" fontId="5" fillId="0" borderId="52" xfId="15" applyFill="1" applyBorder="1" applyAlignment="1" applyProtection="1">
      <alignment horizontal="left" vertical="center" indent="1"/>
    </xf>
    <xf numFmtId="4" fontId="5" fillId="6" borderId="51" xfId="15" applyNumberFormat="1" applyFont="1" applyFill="1" applyBorder="1" applyAlignment="1" applyProtection="1">
      <alignment horizontal="right" vertical="center"/>
      <protection locked="0"/>
    </xf>
    <xf numFmtId="4" fontId="5" fillId="6" borderId="52" xfId="15" applyNumberFormat="1" applyFont="1" applyFill="1" applyBorder="1" applyAlignment="1" applyProtection="1">
      <alignment horizontal="right" vertical="center"/>
      <protection locked="0"/>
    </xf>
    <xf numFmtId="4" fontId="5" fillId="6" borderId="53" xfId="15" applyNumberFormat="1" applyFont="1" applyFill="1" applyBorder="1" applyAlignment="1" applyProtection="1">
      <alignment horizontal="right" vertical="center"/>
      <protection locked="0"/>
    </xf>
    <xf numFmtId="164" fontId="5" fillId="10" borderId="51" xfId="15" applyNumberFormat="1" applyFont="1" applyFill="1" applyBorder="1" applyAlignment="1" applyProtection="1">
      <alignment horizontal="right" vertical="center"/>
      <protection locked="0"/>
    </xf>
    <xf numFmtId="164" fontId="5" fillId="10" borderId="52" xfId="15" applyNumberFormat="1" applyFont="1" applyFill="1" applyBorder="1" applyAlignment="1" applyProtection="1">
      <alignment horizontal="right" vertical="center"/>
      <protection locked="0"/>
    </xf>
    <xf numFmtId="164" fontId="5" fillId="4" borderId="53" xfId="15" applyNumberFormat="1" applyFont="1" applyFill="1" applyBorder="1" applyAlignment="1" applyProtection="1">
      <alignment horizontal="right" vertical="center"/>
    </xf>
    <xf numFmtId="49" fontId="5" fillId="0" borderId="0" xfId="15" applyAlignment="1" applyProtection="1"/>
    <xf numFmtId="49" fontId="5" fillId="0" borderId="0" xfId="15" applyNumberFormat="1" applyFont="1" applyFill="1" applyProtection="1">
      <alignment vertical="top"/>
    </xf>
    <xf numFmtId="164" fontId="5" fillId="10" borderId="55" xfId="15" applyNumberFormat="1" applyFont="1" applyFill="1" applyBorder="1" applyAlignment="1" applyProtection="1">
      <alignment horizontal="right" vertical="center"/>
      <protection locked="0"/>
    </xf>
    <xf numFmtId="164" fontId="5" fillId="10" borderId="53" xfId="15" applyNumberFormat="1" applyFont="1" applyFill="1" applyBorder="1" applyAlignment="1" applyProtection="1">
      <alignment horizontal="right" vertical="center"/>
      <protection locked="0"/>
    </xf>
    <xf numFmtId="10" fontId="5" fillId="0" borderId="0" xfId="15" quotePrefix="1" applyNumberFormat="1" applyFill="1" applyAlignment="1" applyProtection="1"/>
    <xf numFmtId="10" fontId="5" fillId="0" borderId="0" xfId="15" applyNumberFormat="1" applyFill="1" applyAlignment="1" applyProtection="1"/>
    <xf numFmtId="49" fontId="5" fillId="0" borderId="52" xfId="15" applyFont="1" applyFill="1" applyBorder="1" applyAlignment="1" applyProtection="1">
      <alignment horizontal="left" vertical="center" indent="1"/>
    </xf>
    <xf numFmtId="164" fontId="5" fillId="8" borderId="51" xfId="15" applyNumberFormat="1" applyFont="1" applyFill="1" applyBorder="1" applyAlignment="1" applyProtection="1">
      <alignment horizontal="right" vertical="center"/>
    </xf>
    <xf numFmtId="164" fontId="5" fillId="8" borderId="52" xfId="15" applyNumberFormat="1" applyFont="1" applyFill="1" applyBorder="1" applyAlignment="1" applyProtection="1">
      <alignment horizontal="right" vertical="center"/>
    </xf>
    <xf numFmtId="164" fontId="5" fillId="8" borderId="53" xfId="15" applyNumberFormat="1" applyFont="1" applyFill="1" applyBorder="1" applyAlignment="1" applyProtection="1">
      <alignment horizontal="right" vertical="center"/>
    </xf>
    <xf numFmtId="49" fontId="33" fillId="0" borderId="52" xfId="15" applyFont="1" applyBorder="1" applyAlignment="1" applyProtection="1">
      <alignment horizontal="center" vertical="center"/>
    </xf>
    <xf numFmtId="0" fontId="5" fillId="8" borderId="15" xfId="15" applyNumberFormat="1" applyFont="1" applyFill="1" applyBorder="1" applyAlignment="1" applyProtection="1">
      <alignment horizontal="right" vertical="center"/>
    </xf>
    <xf numFmtId="0" fontId="5" fillId="8" borderId="0" xfId="15" applyNumberFormat="1" applyFont="1" applyFill="1" applyBorder="1" applyAlignment="1" applyProtection="1">
      <alignment horizontal="right" vertical="center"/>
    </xf>
    <xf numFmtId="49" fontId="33" fillId="8" borderId="0" xfId="15" applyFont="1" applyFill="1" applyAlignment="1" applyProtection="1">
      <alignment horizontal="centerContinuous"/>
    </xf>
    <xf numFmtId="49" fontId="5" fillId="8" borderId="0" xfId="15" applyFont="1" applyFill="1" applyAlignment="1" applyProtection="1">
      <alignment horizontal="centerContinuous" vertical="center"/>
    </xf>
    <xf numFmtId="0" fontId="5" fillId="8" borderId="54" xfId="15" applyNumberFormat="1" applyFont="1" applyFill="1" applyBorder="1" applyAlignment="1" applyProtection="1">
      <alignment horizontal="right" vertical="center"/>
    </xf>
    <xf numFmtId="0" fontId="5" fillId="8" borderId="0" xfId="15" applyNumberFormat="1" applyFont="1" applyFill="1" applyAlignment="1" applyProtection="1">
      <alignment horizontal="right" vertical="center"/>
    </xf>
    <xf numFmtId="0" fontId="33" fillId="20" borderId="52" xfId="15" applyNumberFormat="1" applyFont="1" applyFill="1" applyBorder="1" applyAlignment="1" applyProtection="1">
      <alignment horizontal="center" vertical="center" wrapText="1"/>
    </xf>
    <xf numFmtId="49" fontId="33" fillId="20" borderId="52" xfId="15" applyFont="1" applyFill="1" applyBorder="1" applyAlignment="1" applyProtection="1">
      <alignment vertical="center"/>
    </xf>
    <xf numFmtId="49" fontId="33" fillId="20" borderId="52" xfId="15" applyFont="1" applyFill="1" applyBorder="1" applyAlignment="1" applyProtection="1">
      <alignment horizontal="center" vertical="center"/>
    </xf>
    <xf numFmtId="0" fontId="33" fillId="20" borderId="51" xfId="15" applyNumberFormat="1" applyFont="1" applyFill="1" applyBorder="1" applyAlignment="1" applyProtection="1">
      <alignment horizontal="right" vertical="center"/>
    </xf>
    <xf numFmtId="0" fontId="33" fillId="20" borderId="52" xfId="15" applyNumberFormat="1" applyFont="1" applyFill="1" applyBorder="1" applyAlignment="1" applyProtection="1">
      <alignment horizontal="right" vertical="center"/>
    </xf>
    <xf numFmtId="0" fontId="33" fillId="20" borderId="53" xfId="15" applyNumberFormat="1" applyFont="1" applyFill="1" applyBorder="1" applyAlignment="1" applyProtection="1">
      <alignment horizontal="right" vertical="center"/>
    </xf>
    <xf numFmtId="49" fontId="33" fillId="0" borderId="52" xfId="15" applyFont="1" applyBorder="1" applyAlignment="1" applyProtection="1">
      <alignment vertical="center"/>
    </xf>
    <xf numFmtId="49" fontId="5" fillId="0" borderId="52" xfId="15" applyFont="1" applyBorder="1" applyAlignment="1" applyProtection="1">
      <alignment horizontal="left" vertical="center" indent="2"/>
    </xf>
    <xf numFmtId="49" fontId="5" fillId="0" borderId="52" xfId="15" applyFont="1" applyBorder="1" applyAlignment="1" applyProtection="1">
      <alignment horizontal="left" vertical="center" wrapText="1" indent="2"/>
    </xf>
    <xf numFmtId="49" fontId="5" fillId="0" borderId="52" xfId="15" applyFont="1" applyBorder="1" applyAlignment="1" applyProtection="1">
      <alignment horizontal="left" vertical="center"/>
    </xf>
    <xf numFmtId="9" fontId="33" fillId="4" borderId="51" xfId="15" applyNumberFormat="1" applyFont="1" applyFill="1" applyBorder="1" applyAlignment="1" applyProtection="1">
      <alignment horizontal="right" vertical="center"/>
    </xf>
    <xf numFmtId="9" fontId="33" fillId="4" borderId="52" xfId="15" applyNumberFormat="1" applyFont="1" applyFill="1" applyBorder="1" applyAlignment="1" applyProtection="1">
      <alignment horizontal="right" vertical="center"/>
    </xf>
    <xf numFmtId="9" fontId="33" fillId="4" borderId="53" xfId="15" applyNumberFormat="1" applyFont="1" applyFill="1" applyBorder="1" applyAlignment="1" applyProtection="1">
      <alignment horizontal="right" vertical="center"/>
    </xf>
    <xf numFmtId="168" fontId="33" fillId="10" borderId="51" xfId="15" applyNumberFormat="1" applyFont="1" applyFill="1" applyBorder="1" applyAlignment="1" applyProtection="1">
      <alignment horizontal="right" vertical="center"/>
      <protection locked="0"/>
    </xf>
    <xf numFmtId="168" fontId="33" fillId="10" borderId="52" xfId="15" applyNumberFormat="1" applyFont="1" applyFill="1" applyBorder="1" applyAlignment="1" applyProtection="1">
      <alignment horizontal="right" vertical="center"/>
      <protection locked="0"/>
    </xf>
    <xf numFmtId="168" fontId="33" fillId="10" borderId="53" xfId="15" applyNumberFormat="1" applyFont="1" applyFill="1" applyBorder="1" applyAlignment="1" applyProtection="1">
      <alignment horizontal="right" vertical="center"/>
      <protection locked="0"/>
    </xf>
    <xf numFmtId="49" fontId="33" fillId="8" borderId="0" xfId="15" applyFont="1" applyFill="1" applyBorder="1" applyAlignment="1" applyProtection="1">
      <alignment vertical="center"/>
    </xf>
    <xf numFmtId="49" fontId="33" fillId="0" borderId="52" xfId="15" applyFont="1" applyFill="1" applyBorder="1" applyAlignment="1" applyProtection="1">
      <alignment horizontal="left" vertical="center"/>
    </xf>
    <xf numFmtId="0" fontId="17" fillId="0" borderId="52" xfId="15" applyNumberFormat="1" applyFont="1" applyBorder="1" applyAlignment="1" applyProtection="1">
      <alignment horizontal="left" vertical="center" wrapText="1" indent="1"/>
    </xf>
    <xf numFmtId="0" fontId="57" fillId="0" borderId="52" xfId="15" applyNumberFormat="1" applyFont="1" applyFill="1" applyBorder="1" applyAlignment="1" applyProtection="1">
      <alignment horizontal="left" vertical="center" wrapText="1"/>
    </xf>
    <xf numFmtId="0" fontId="17" fillId="0" borderId="52" xfId="15" applyNumberFormat="1" applyFont="1" applyFill="1" applyBorder="1" applyAlignment="1" applyProtection="1">
      <alignment horizontal="left" vertical="center" wrapText="1"/>
    </xf>
    <xf numFmtId="49" fontId="33" fillId="8" borderId="0" xfId="15" applyFont="1" applyFill="1" applyBorder="1" applyAlignment="1" applyProtection="1">
      <alignment horizontal="center" vertical="center"/>
    </xf>
    <xf numFmtId="0" fontId="33" fillId="8" borderId="12" xfId="15" applyNumberFormat="1" applyFont="1" applyFill="1" applyBorder="1" applyAlignment="1" applyProtection="1">
      <alignment horizontal="right" vertical="center"/>
    </xf>
    <xf numFmtId="0" fontId="33" fillId="8" borderId="0" xfId="15" applyNumberFormat="1" applyFont="1" applyFill="1" applyBorder="1" applyAlignment="1" applyProtection="1">
      <alignment horizontal="right" vertical="center"/>
    </xf>
    <xf numFmtId="0" fontId="57" fillId="20" borderId="52" xfId="15" applyNumberFormat="1" applyFont="1" applyFill="1" applyBorder="1" applyAlignment="1" applyProtection="1">
      <alignment horizontal="left" vertical="center" wrapText="1"/>
    </xf>
    <xf numFmtId="0" fontId="17" fillId="0" borderId="52" xfId="15" applyNumberFormat="1" applyFont="1" applyFill="1" applyBorder="1" applyAlignment="1" applyProtection="1">
      <alignment horizontal="left" vertical="center" wrapText="1" indent="1"/>
    </xf>
    <xf numFmtId="49" fontId="5" fillId="8" borderId="0" xfId="15" applyFont="1" applyFill="1" applyAlignment="1" applyProtection="1">
      <alignment vertical="center"/>
    </xf>
    <xf numFmtId="49" fontId="5" fillId="8" borderId="0" xfId="15" applyFont="1" applyFill="1" applyAlignment="1" applyProtection="1">
      <alignment horizontal="center" vertical="center"/>
    </xf>
    <xf numFmtId="0" fontId="5" fillId="0" borderId="12" xfId="15" applyNumberFormat="1" applyFont="1" applyBorder="1" applyAlignment="1" applyProtection="1">
      <alignment horizontal="right" vertical="center"/>
    </xf>
    <xf numFmtId="0" fontId="5" fillId="0" borderId="0" xfId="15" applyNumberFormat="1" applyFont="1" applyAlignment="1" applyProtection="1">
      <alignment horizontal="right" vertical="center"/>
    </xf>
    <xf numFmtId="0" fontId="57" fillId="0" borderId="52" xfId="15" applyNumberFormat="1" applyFont="1" applyBorder="1" applyAlignment="1" applyProtection="1">
      <alignment horizontal="left" vertical="center" wrapText="1"/>
    </xf>
    <xf numFmtId="0" fontId="5" fillId="0" borderId="51" xfId="15" applyNumberFormat="1" applyFont="1" applyFill="1" applyBorder="1" applyAlignment="1" applyProtection="1">
      <alignment horizontal="right" vertical="center"/>
    </xf>
    <xf numFmtId="0" fontId="5" fillId="0" borderId="52" xfId="15" applyNumberFormat="1" applyFont="1" applyFill="1" applyBorder="1" applyAlignment="1" applyProtection="1">
      <alignment horizontal="right" vertical="center"/>
    </xf>
    <xf numFmtId="0" fontId="5" fillId="0" borderId="53" xfId="15" applyNumberFormat="1" applyFont="1" applyFill="1" applyBorder="1" applyAlignment="1" applyProtection="1">
      <alignment horizontal="right" vertical="center"/>
    </xf>
    <xf numFmtId="0" fontId="32" fillId="0" borderId="0" xfId="15" applyNumberFormat="1" applyFont="1" applyFill="1" applyProtection="1">
      <alignment vertical="top"/>
    </xf>
    <xf numFmtId="49" fontId="5" fillId="20" borderId="52" xfId="15" applyNumberFormat="1" applyFont="1" applyFill="1" applyBorder="1" applyAlignment="1" applyProtection="1">
      <alignment horizontal="center" vertical="center"/>
    </xf>
    <xf numFmtId="49" fontId="5" fillId="20" borderId="52" xfId="15" applyFont="1" applyFill="1" applyBorder="1" applyAlignment="1" applyProtection="1">
      <alignment horizontal="center" vertical="center"/>
    </xf>
    <xf numFmtId="0" fontId="17" fillId="0" borderId="52" xfId="15" applyNumberFormat="1" applyFont="1" applyBorder="1" applyAlignment="1" applyProtection="1">
      <alignment horizontal="left" vertical="center" wrapText="1"/>
    </xf>
    <xf numFmtId="164" fontId="33" fillId="4" borderId="51" xfId="15" applyNumberFormat="1" applyFont="1" applyFill="1" applyBorder="1" applyAlignment="1" applyProtection="1">
      <alignment horizontal="right" vertical="center"/>
    </xf>
    <xf numFmtId="164" fontId="33" fillId="4" borderId="52" xfId="15" applyNumberFormat="1" applyFont="1" applyFill="1" applyBorder="1" applyAlignment="1" applyProtection="1">
      <alignment horizontal="right" vertical="center"/>
    </xf>
    <xf numFmtId="164" fontId="33" fillId="4" borderId="53" xfId="15" applyNumberFormat="1" applyFont="1" applyFill="1" applyBorder="1" applyAlignment="1" applyProtection="1">
      <alignment horizontal="right" vertical="center"/>
    </xf>
    <xf numFmtId="4" fontId="5" fillId="4" borderId="51" xfId="15" applyNumberFormat="1" applyFont="1" applyFill="1" applyBorder="1" applyAlignment="1" applyProtection="1">
      <alignment horizontal="right" vertical="center"/>
    </xf>
    <xf numFmtId="0" fontId="33" fillId="8" borderId="0" xfId="15" applyNumberFormat="1" applyFont="1" applyFill="1" applyAlignment="1" applyProtection="1">
      <alignment horizontal="center"/>
    </xf>
    <xf numFmtId="0" fontId="5" fillId="8" borderId="12" xfId="15" applyNumberFormat="1" applyFont="1" applyFill="1" applyBorder="1" applyAlignment="1" applyProtection="1">
      <alignment vertical="center"/>
    </xf>
    <xf numFmtId="0" fontId="5" fillId="8" borderId="52" xfId="15" applyNumberFormat="1" applyFont="1" applyFill="1" applyBorder="1" applyAlignment="1" applyProtection="1">
      <alignment horizontal="center" vertical="center"/>
    </xf>
    <xf numFmtId="49" fontId="33" fillId="0" borderId="52" xfId="15" applyFont="1" applyBorder="1" applyAlignment="1" applyProtection="1"/>
    <xf numFmtId="49" fontId="33" fillId="0" borderId="52" xfId="15" applyFont="1" applyBorder="1" applyAlignment="1" applyProtection="1">
      <alignment horizontal="center"/>
    </xf>
    <xf numFmtId="4" fontId="33" fillId="4" borderId="51" xfId="15" applyNumberFormat="1" applyFont="1" applyFill="1" applyBorder="1" applyAlignment="1" applyProtection="1">
      <alignment horizontal="right" vertical="center"/>
    </xf>
    <xf numFmtId="4" fontId="33" fillId="4" borderId="52" xfId="15" applyNumberFormat="1" applyFont="1" applyFill="1" applyBorder="1" applyAlignment="1" applyProtection="1">
      <alignment horizontal="right" vertical="center"/>
    </xf>
    <xf numFmtId="4" fontId="33" fillId="4" borderId="53" xfId="15" applyNumberFormat="1" applyFont="1" applyFill="1" applyBorder="1" applyAlignment="1" applyProtection="1">
      <alignment horizontal="right" vertical="center"/>
    </xf>
    <xf numFmtId="9" fontId="33" fillId="10" borderId="51" xfId="15" applyNumberFormat="1" applyFont="1" applyFill="1" applyBorder="1" applyAlignment="1" applyProtection="1">
      <alignment horizontal="right" vertical="center"/>
      <protection locked="0"/>
    </xf>
    <xf numFmtId="0" fontId="22" fillId="0" borderId="0" xfId="5" applyFont="1" applyAlignment="1" applyProtection="1">
      <alignment vertical="top"/>
    </xf>
    <xf numFmtId="0" fontId="5" fillId="0" borderId="0" xfId="8" applyFont="1" applyProtection="1"/>
    <xf numFmtId="0" fontId="5" fillId="0" borderId="0" xfId="8" applyFont="1"/>
    <xf numFmtId="0" fontId="5" fillId="0" borderId="0" xfId="8" applyFont="1" applyAlignment="1" applyProtection="1">
      <alignment horizontal="left" vertical="center"/>
    </xf>
    <xf numFmtId="0" fontId="127" fillId="0" borderId="0" xfId="8" applyFont="1" applyBorder="1" applyAlignment="1" applyProtection="1">
      <alignment horizontal="left" vertical="center" indent="1"/>
    </xf>
    <xf numFmtId="0" fontId="127" fillId="0" borderId="0" xfId="8" applyFont="1" applyAlignment="1" applyProtection="1">
      <alignment vertical="center"/>
    </xf>
    <xf numFmtId="0" fontId="5" fillId="0" borderId="0" xfId="8" applyFont="1" applyAlignment="1">
      <alignment horizontal="left" vertical="center"/>
    </xf>
    <xf numFmtId="0" fontId="127" fillId="0" borderId="0" xfId="8" applyFont="1" applyAlignment="1" applyProtection="1">
      <alignment horizontal="center" vertical="center"/>
    </xf>
    <xf numFmtId="0" fontId="127" fillId="0" borderId="0" xfId="8" applyFont="1" applyAlignment="1" applyProtection="1">
      <alignment horizontal="right" vertical="center"/>
    </xf>
    <xf numFmtId="0" fontId="5" fillId="0" borderId="4" xfId="15" applyNumberFormat="1" applyFont="1" applyFill="1" applyBorder="1" applyAlignment="1" applyProtection="1">
      <alignment horizontal="center" vertical="center" wrapText="1"/>
    </xf>
    <xf numFmtId="0" fontId="0" fillId="9" borderId="4" xfId="15" applyNumberFormat="1" applyFont="1" applyFill="1" applyBorder="1" applyAlignment="1" applyProtection="1">
      <alignment horizontal="center" vertical="center" wrapText="1"/>
    </xf>
    <xf numFmtId="0" fontId="5" fillId="0" borderId="0" xfId="15" applyNumberFormat="1" applyFont="1" applyFill="1" applyBorder="1" applyAlignment="1" applyProtection="1">
      <alignment horizontal="center" vertical="center" wrapText="1"/>
    </xf>
    <xf numFmtId="0" fontId="33" fillId="0" borderId="0" xfId="15" applyNumberFormat="1" applyFont="1" applyFill="1" applyBorder="1" applyAlignment="1" applyProtection="1">
      <alignment horizontal="center" vertical="center" wrapText="1"/>
    </xf>
    <xf numFmtId="49" fontId="0" fillId="0" borderId="4" xfId="15" applyNumberFormat="1" applyFont="1" applyFill="1" applyBorder="1" applyAlignment="1" applyProtection="1">
      <alignment horizontal="center" vertical="center" wrapText="1"/>
    </xf>
    <xf numFmtId="0" fontId="5" fillId="0" borderId="4" xfId="15" applyNumberFormat="1" applyFont="1" applyFill="1" applyBorder="1" applyAlignment="1" applyProtection="1">
      <alignment horizontal="left" vertical="center" wrapText="1"/>
    </xf>
    <xf numFmtId="4" fontId="33" fillId="4" borderId="4" xfId="12" applyNumberFormat="1" applyFont="1" applyFill="1" applyBorder="1" applyAlignment="1" applyProtection="1">
      <alignment horizontal="right" vertical="center"/>
    </xf>
    <xf numFmtId="0" fontId="5" fillId="0" borderId="4" xfId="15" applyNumberFormat="1" applyFont="1" applyFill="1" applyBorder="1" applyAlignment="1" applyProtection="1">
      <alignment horizontal="left" vertical="center" wrapText="1" indent="1"/>
    </xf>
    <xf numFmtId="0" fontId="5" fillId="0" borderId="4" xfId="15" applyNumberFormat="1" applyFont="1" applyFill="1" applyBorder="1" applyAlignment="1" applyProtection="1">
      <alignment horizontal="left" vertical="center" wrapText="1" indent="2"/>
    </xf>
    <xf numFmtId="49" fontId="32" fillId="0" borderId="0" xfId="0" applyNumberFormat="1" applyFont="1" applyAlignment="1" applyProtection="1">
      <alignment vertical="top"/>
    </xf>
    <xf numFmtId="0" fontId="32" fillId="0" borderId="0" xfId="0" applyFont="1" applyAlignment="1" applyProtection="1">
      <alignment vertical="top"/>
    </xf>
    <xf numFmtId="0" fontId="0" fillId="0" borderId="0" xfId="0" applyFont="1" applyAlignment="1" applyProtection="1">
      <alignment horizontal="left" vertical="center" indent="2"/>
    </xf>
    <xf numFmtId="0" fontId="33" fillId="0" borderId="0" xfId="0" applyFont="1" applyFill="1" applyBorder="1" applyAlignment="1" applyProtection="1">
      <alignment horizontal="left" vertical="center"/>
    </xf>
    <xf numFmtId="0" fontId="33" fillId="0" borderId="0" xfId="0" applyFont="1" applyAlignment="1" applyProtection="1">
      <alignment vertical="top"/>
    </xf>
    <xf numFmtId="0" fontId="5" fillId="0" borderId="52" xfId="0" applyFont="1" applyBorder="1" applyAlignment="1" applyProtection="1">
      <alignment horizontal="center" vertical="center"/>
    </xf>
    <xf numFmtId="0" fontId="5" fillId="0" borderId="11" xfId="0" applyFont="1" applyBorder="1" applyAlignment="1" applyProtection="1">
      <alignment horizontal="center" vertical="center"/>
    </xf>
    <xf numFmtId="0" fontId="5" fillId="0" borderId="51" xfId="0" applyFont="1" applyBorder="1" applyAlignment="1" applyProtection="1">
      <alignment horizontal="center" vertical="center"/>
    </xf>
    <xf numFmtId="0" fontId="5" fillId="0" borderId="53" xfId="0" applyFont="1" applyBorder="1" applyAlignment="1" applyProtection="1">
      <alignment horizontal="center" vertical="center"/>
    </xf>
    <xf numFmtId="0" fontId="128" fillId="0" borderId="0" xfId="0" applyFont="1" applyAlignment="1" applyProtection="1">
      <alignment vertical="top"/>
    </xf>
    <xf numFmtId="0" fontId="129" fillId="0" borderId="0" xfId="0" applyFont="1" applyFill="1" applyBorder="1" applyAlignment="1" applyProtection="1">
      <alignment horizontal="center" vertical="center" wrapText="1"/>
    </xf>
    <xf numFmtId="0" fontId="33" fillId="20" borderId="52" xfId="0" applyFont="1" applyFill="1" applyBorder="1" applyAlignment="1" applyProtection="1">
      <alignment horizontal="center" vertical="top"/>
    </xf>
    <xf numFmtId="0" fontId="33" fillId="20" borderId="52" xfId="0" applyFont="1" applyFill="1" applyBorder="1" applyAlignment="1" applyProtection="1">
      <alignment horizontal="center" vertical="center" wrapText="1"/>
    </xf>
    <xf numFmtId="0" fontId="130" fillId="20" borderId="52" xfId="0" applyFont="1" applyFill="1" applyBorder="1" applyAlignment="1" applyProtection="1">
      <alignment horizontal="center" vertical="center" wrapText="1"/>
    </xf>
    <xf numFmtId="0" fontId="130" fillId="20" borderId="11" xfId="0" applyFont="1" applyFill="1" applyBorder="1" applyAlignment="1" applyProtection="1">
      <alignment horizontal="center" vertical="center" wrapText="1"/>
    </xf>
    <xf numFmtId="0" fontId="130" fillId="20" borderId="51" xfId="0" applyFont="1" applyFill="1" applyBorder="1" applyAlignment="1" applyProtection="1">
      <alignment horizontal="center" vertical="center" wrapText="1"/>
    </xf>
    <xf numFmtId="0" fontId="130" fillId="20" borderId="53" xfId="0" applyFont="1" applyFill="1" applyBorder="1" applyAlignment="1" applyProtection="1">
      <alignment horizontal="center" vertical="center" wrapText="1"/>
    </xf>
    <xf numFmtId="49" fontId="33" fillId="0" borderId="52" xfId="0" applyNumberFormat="1" applyFont="1" applyBorder="1" applyAlignment="1" applyProtection="1">
      <alignment horizontal="center" vertical="center"/>
    </xf>
    <xf numFmtId="2" fontId="33" fillId="0" borderId="52" xfId="0" applyNumberFormat="1" applyFont="1" applyBorder="1" applyAlignment="1" applyProtection="1">
      <alignment vertical="center" wrapText="1"/>
    </xf>
    <xf numFmtId="2" fontId="33" fillId="0" borderId="52" xfId="0" applyNumberFormat="1" applyFont="1" applyBorder="1" applyAlignment="1" applyProtection="1">
      <alignment horizontal="center" vertical="center" wrapText="1"/>
    </xf>
    <xf numFmtId="4" fontId="33" fillId="4" borderId="52" xfId="0" applyNumberFormat="1" applyFont="1" applyFill="1" applyBorder="1" applyAlignment="1" applyProtection="1">
      <alignment horizontal="right" vertical="center"/>
    </xf>
    <xf numFmtId="4" fontId="33" fillId="4" borderId="11" xfId="0" applyNumberFormat="1" applyFont="1" applyFill="1" applyBorder="1" applyAlignment="1" applyProtection="1">
      <alignment horizontal="right" vertical="center"/>
    </xf>
    <xf numFmtId="4" fontId="33" fillId="4" borderId="51" xfId="0" applyNumberFormat="1" applyFont="1" applyFill="1" applyBorder="1" applyAlignment="1" applyProtection="1">
      <alignment horizontal="right" vertical="center"/>
    </xf>
    <xf numFmtId="4" fontId="33" fillId="4" borderId="53" xfId="0" applyNumberFormat="1" applyFont="1" applyFill="1" applyBorder="1" applyAlignment="1" applyProtection="1">
      <alignment horizontal="right" vertical="center"/>
    </xf>
    <xf numFmtId="3" fontId="0" fillId="0" borderId="0" xfId="0" applyNumberFormat="1" applyFont="1" applyAlignment="1" applyProtection="1">
      <alignment horizontal="center" vertical="center"/>
    </xf>
    <xf numFmtId="49" fontId="0" fillId="0" borderId="52" xfId="0" applyNumberFormat="1" applyFont="1" applyBorder="1" applyAlignment="1" applyProtection="1">
      <alignment horizontal="center" vertical="center"/>
    </xf>
    <xf numFmtId="4" fontId="0" fillId="0" borderId="52" xfId="0" applyNumberFormat="1" applyFont="1" applyBorder="1" applyAlignment="1" applyProtection="1">
      <alignment horizontal="left" vertical="center" indent="1"/>
    </xf>
    <xf numFmtId="4" fontId="0" fillId="0" borderId="52" xfId="0" applyNumberFormat="1" applyFont="1" applyBorder="1" applyAlignment="1" applyProtection="1">
      <alignment horizontal="center" vertical="center"/>
    </xf>
    <xf numFmtId="4" fontId="0" fillId="4" borderId="52" xfId="0" applyNumberFormat="1" applyFont="1" applyFill="1" applyBorder="1" applyAlignment="1" applyProtection="1">
      <alignment horizontal="right" vertical="center"/>
    </xf>
    <xf numFmtId="4" fontId="0" fillId="4" borderId="11" xfId="0" applyNumberFormat="1" applyFont="1" applyFill="1" applyBorder="1" applyAlignment="1" applyProtection="1">
      <alignment horizontal="right" vertical="center"/>
    </xf>
    <xf numFmtId="4" fontId="0" fillId="4" borderId="51" xfId="0" applyNumberFormat="1" applyFont="1" applyFill="1" applyBorder="1" applyAlignment="1" applyProtection="1">
      <alignment horizontal="right" vertical="center"/>
    </xf>
    <xf numFmtId="4" fontId="0" fillId="4" borderId="53" xfId="0" applyNumberFormat="1" applyFont="1" applyFill="1" applyBorder="1" applyAlignment="1" applyProtection="1">
      <alignment horizontal="right" vertical="center"/>
    </xf>
    <xf numFmtId="2" fontId="0" fillId="0" borderId="52" xfId="0" applyNumberFormat="1" applyFont="1" applyBorder="1" applyAlignment="1" applyProtection="1">
      <alignment horizontal="left" vertical="center" wrapText="1" indent="1"/>
    </xf>
    <xf numFmtId="2" fontId="0" fillId="0" borderId="52" xfId="0" applyNumberFormat="1" applyFont="1" applyBorder="1" applyAlignment="1" applyProtection="1">
      <alignment horizontal="center" vertical="center" wrapText="1"/>
    </xf>
    <xf numFmtId="4" fontId="0" fillId="0" borderId="52" xfId="0" applyNumberFormat="1" applyFont="1" applyBorder="1" applyAlignment="1" applyProtection="1">
      <alignment horizontal="right" vertical="center"/>
    </xf>
    <xf numFmtId="4" fontId="0" fillId="0" borderId="11" xfId="0" applyNumberFormat="1" applyFont="1" applyFill="1" applyBorder="1" applyAlignment="1" applyProtection="1">
      <alignment horizontal="right" vertical="center"/>
    </xf>
    <xf numFmtId="4" fontId="0" fillId="0" borderId="51" xfId="0" applyNumberFormat="1" applyFont="1" applyBorder="1" applyAlignment="1" applyProtection="1">
      <alignment horizontal="right" vertical="center"/>
    </xf>
    <xf numFmtId="4" fontId="0" fillId="0" borderId="53" xfId="0" applyNumberFormat="1" applyFont="1" applyFill="1" applyBorder="1" applyAlignment="1" applyProtection="1">
      <alignment horizontal="right" vertical="center"/>
    </xf>
    <xf numFmtId="2" fontId="0" fillId="0" borderId="52" xfId="0" applyNumberFormat="1" applyFont="1" applyBorder="1" applyAlignment="1" applyProtection="1">
      <alignment horizontal="left" vertical="center" wrapText="1" indent="2"/>
    </xf>
    <xf numFmtId="4" fontId="0" fillId="0" borderId="52" xfId="0" applyNumberFormat="1" applyFont="1" applyFill="1" applyBorder="1" applyAlignment="1" applyProtection="1">
      <alignment horizontal="right" vertical="center"/>
    </xf>
    <xf numFmtId="2" fontId="33" fillId="0" borderId="52" xfId="0" applyNumberFormat="1" applyFont="1" applyBorder="1" applyAlignment="1" applyProtection="1">
      <alignment horizontal="left" vertical="center" wrapText="1"/>
    </xf>
    <xf numFmtId="4" fontId="0" fillId="0" borderId="52" xfId="0" applyNumberFormat="1" applyBorder="1" applyAlignment="1" applyProtection="1">
      <alignment horizontal="left" vertical="center" indent="1"/>
    </xf>
    <xf numFmtId="2" fontId="0" fillId="0" borderId="52" xfId="0" applyNumberFormat="1" applyFont="1" applyBorder="1" applyAlignment="1" applyProtection="1">
      <alignment vertical="center" wrapText="1"/>
    </xf>
    <xf numFmtId="49" fontId="33" fillId="20" borderId="52" xfId="0" applyNumberFormat="1" applyFont="1" applyFill="1" applyBorder="1" applyAlignment="1" applyProtection="1">
      <alignment horizontal="center" vertical="center"/>
    </xf>
    <xf numFmtId="4" fontId="130" fillId="20" borderId="52" xfId="0" applyNumberFormat="1" applyFont="1" applyFill="1" applyBorder="1" applyAlignment="1" applyProtection="1">
      <alignment horizontal="right" vertical="center" wrapText="1"/>
    </xf>
    <xf numFmtId="4" fontId="130" fillId="20" borderId="11" xfId="0" applyNumberFormat="1" applyFont="1" applyFill="1" applyBorder="1" applyAlignment="1" applyProtection="1">
      <alignment horizontal="right" vertical="center" wrapText="1"/>
    </xf>
    <xf numFmtId="4" fontId="130" fillId="20" borderId="51" xfId="0" applyNumberFormat="1" applyFont="1" applyFill="1" applyBorder="1" applyAlignment="1" applyProtection="1">
      <alignment horizontal="right" vertical="center" wrapText="1"/>
    </xf>
    <xf numFmtId="4" fontId="130" fillId="20" borderId="53" xfId="0" applyNumberFormat="1" applyFont="1" applyFill="1" applyBorder="1" applyAlignment="1" applyProtection="1">
      <alignment horizontal="right" vertical="center" wrapText="1"/>
    </xf>
    <xf numFmtId="49" fontId="0" fillId="0" borderId="52" xfId="0" applyNumberFormat="1" applyBorder="1" applyAlignment="1" applyProtection="1">
      <alignment horizontal="center" vertical="center"/>
    </xf>
    <xf numFmtId="2" fontId="0" fillId="0" borderId="52" xfId="0" applyNumberFormat="1" applyFill="1" applyBorder="1" applyAlignment="1" applyProtection="1">
      <alignment horizontal="left" vertical="center" wrapText="1"/>
    </xf>
    <xf numFmtId="49" fontId="33" fillId="0" borderId="7" xfId="0" applyNumberFormat="1" applyFont="1" applyBorder="1" applyAlignment="1" applyProtection="1">
      <alignment horizontal="center" vertical="center"/>
    </xf>
    <xf numFmtId="2" fontId="33" fillId="0" borderId="7" xfId="0" applyNumberFormat="1" applyFont="1" applyFill="1" applyBorder="1" applyAlignment="1" applyProtection="1">
      <alignment horizontal="left" vertical="center" wrapText="1"/>
    </xf>
    <xf numFmtId="4" fontId="33" fillId="0" borderId="52" xfId="0" applyNumberFormat="1" applyFont="1" applyBorder="1" applyAlignment="1" applyProtection="1">
      <alignment horizontal="right" vertical="center"/>
    </xf>
    <xf numFmtId="4" fontId="33" fillId="0" borderId="51" xfId="0" applyNumberFormat="1" applyFont="1" applyBorder="1" applyAlignment="1" applyProtection="1">
      <alignment horizontal="right" vertical="center"/>
    </xf>
    <xf numFmtId="4" fontId="33" fillId="6" borderId="52" xfId="0" applyNumberFormat="1" applyFont="1" applyFill="1" applyBorder="1" applyAlignment="1" applyProtection="1">
      <alignment horizontal="right" vertical="center"/>
      <protection locked="0"/>
    </xf>
    <xf numFmtId="4" fontId="33" fillId="6" borderId="53" xfId="0" applyNumberFormat="1" applyFont="1" applyFill="1" applyBorder="1" applyAlignment="1" applyProtection="1">
      <alignment horizontal="right" vertical="center"/>
      <protection locked="0"/>
    </xf>
    <xf numFmtId="49" fontId="5" fillId="0" borderId="52" xfId="0" applyNumberFormat="1" applyFont="1" applyBorder="1" applyAlignment="1" applyProtection="1">
      <alignment horizontal="center" vertical="center"/>
    </xf>
    <xf numFmtId="49" fontId="0" fillId="0" borderId="52" xfId="0" applyNumberFormat="1" applyFill="1" applyBorder="1" applyAlignment="1" applyProtection="1">
      <alignment horizontal="left" vertical="center" wrapText="1" indent="1"/>
    </xf>
    <xf numFmtId="0" fontId="0" fillId="6" borderId="9" xfId="0" applyNumberFormat="1" applyFont="1" applyFill="1" applyBorder="1" applyAlignment="1" applyProtection="1">
      <alignment horizontal="center" vertical="center" wrapText="1"/>
      <protection locked="0"/>
    </xf>
    <xf numFmtId="4" fontId="5" fillId="0" borderId="52" xfId="0" applyNumberFormat="1" applyFont="1" applyFill="1" applyBorder="1" applyAlignment="1" applyProtection="1">
      <alignment horizontal="right" vertical="center"/>
    </xf>
    <xf numFmtId="4" fontId="5" fillId="0" borderId="53" xfId="0" applyNumberFormat="1" applyFont="1" applyFill="1" applyBorder="1" applyAlignment="1" applyProtection="1">
      <alignment horizontal="right" vertical="center"/>
    </xf>
    <xf numFmtId="4" fontId="33" fillId="0" borderId="51" xfId="0" applyNumberFormat="1" applyFont="1" applyFill="1" applyBorder="1" applyAlignment="1" applyProtection="1">
      <alignment horizontal="right" vertical="center"/>
    </xf>
    <xf numFmtId="4" fontId="33" fillId="0" borderId="52" xfId="0" applyNumberFormat="1" applyFont="1" applyFill="1" applyBorder="1" applyAlignment="1" applyProtection="1">
      <alignment horizontal="right" vertical="center"/>
    </xf>
    <xf numFmtId="4" fontId="33" fillId="0" borderId="53" xfId="0" applyNumberFormat="1" applyFont="1" applyFill="1" applyBorder="1" applyAlignment="1" applyProtection="1">
      <alignment horizontal="right" vertical="center"/>
    </xf>
    <xf numFmtId="0" fontId="5" fillId="0" borderId="0" xfId="0" applyFont="1" applyAlignment="1" applyProtection="1">
      <alignment vertical="top"/>
    </xf>
    <xf numFmtId="49" fontId="5" fillId="11" borderId="52" xfId="0" applyNumberFormat="1" applyFont="1" applyFill="1" applyBorder="1" applyAlignment="1" applyProtection="1">
      <alignment horizontal="center" vertical="center"/>
    </xf>
    <xf numFmtId="2" fontId="5" fillId="11" borderId="52" xfId="0" applyNumberFormat="1" applyFont="1" applyFill="1" applyBorder="1" applyAlignment="1" applyProtection="1">
      <alignment horizontal="left" vertical="center" wrapText="1" indent="1"/>
    </xf>
    <xf numFmtId="2" fontId="0" fillId="11" borderId="9" xfId="0" applyNumberFormat="1" applyFont="1" applyFill="1" applyBorder="1" applyAlignment="1" applyProtection="1">
      <alignment horizontal="center" vertical="center" wrapText="1"/>
    </xf>
    <xf numFmtId="49" fontId="5" fillId="11" borderId="52" xfId="0" applyNumberFormat="1" applyFont="1" applyFill="1" applyBorder="1" applyAlignment="1" applyProtection="1">
      <alignment horizontal="left" vertical="center" wrapText="1" indent="1"/>
    </xf>
    <xf numFmtId="49" fontId="0" fillId="0" borderId="18" xfId="0" applyNumberFormat="1" applyBorder="1" applyAlignment="1" applyProtection="1">
      <alignment horizontal="center" vertical="center"/>
    </xf>
    <xf numFmtId="2" fontId="0" fillId="0" borderId="18" xfId="0" applyNumberFormat="1" applyFont="1" applyBorder="1" applyAlignment="1" applyProtection="1">
      <alignment vertical="center" wrapText="1"/>
    </xf>
    <xf numFmtId="49" fontId="0" fillId="0" borderId="52" xfId="0" applyNumberFormat="1" applyFill="1" applyBorder="1" applyAlignment="1" applyProtection="1">
      <alignment horizontal="center" vertical="center"/>
    </xf>
    <xf numFmtId="2" fontId="0" fillId="0" borderId="52" xfId="0" applyNumberFormat="1" applyFont="1" applyFill="1" applyBorder="1" applyAlignment="1" applyProtection="1">
      <alignment vertical="center" wrapText="1"/>
    </xf>
    <xf numFmtId="2" fontId="0" fillId="0" borderId="52" xfId="0" applyNumberFormat="1" applyFill="1" applyBorder="1" applyAlignment="1" applyProtection="1">
      <alignment vertical="center" wrapText="1"/>
    </xf>
    <xf numFmtId="4" fontId="0" fillId="10" borderId="52" xfId="0" applyNumberFormat="1" applyFont="1" applyFill="1" applyBorder="1" applyAlignment="1" applyProtection="1">
      <alignment horizontal="right" vertical="center"/>
      <protection locked="0"/>
    </xf>
    <xf numFmtId="4" fontId="0" fillId="10" borderId="11" xfId="0" applyNumberFormat="1" applyFont="1" applyFill="1" applyBorder="1" applyAlignment="1" applyProtection="1">
      <alignment horizontal="right" vertical="center"/>
      <protection locked="0"/>
    </xf>
    <xf numFmtId="4" fontId="0" fillId="10" borderId="53" xfId="0" applyNumberFormat="1" applyFont="1" applyFill="1" applyBorder="1" applyAlignment="1" applyProtection="1">
      <alignment horizontal="right" vertical="center"/>
      <protection locked="0"/>
    </xf>
    <xf numFmtId="49" fontId="33" fillId="0" borderId="52" xfId="0" applyNumberFormat="1" applyFont="1" applyFill="1" applyBorder="1" applyAlignment="1" applyProtection="1">
      <alignment horizontal="center" vertical="center"/>
    </xf>
    <xf numFmtId="2" fontId="33" fillId="0" borderId="52" xfId="0" applyNumberFormat="1" applyFont="1" applyFill="1" applyBorder="1" applyAlignment="1" applyProtection="1">
      <alignment vertical="center" wrapText="1"/>
    </xf>
    <xf numFmtId="2" fontId="33" fillId="0" borderId="52" xfId="0" applyNumberFormat="1" applyFont="1" applyFill="1" applyBorder="1" applyAlignment="1" applyProtection="1">
      <alignment horizontal="left" vertical="center" wrapText="1"/>
    </xf>
    <xf numFmtId="0" fontId="0" fillId="0" borderId="52" xfId="0" applyFont="1" applyFill="1" applyBorder="1" applyAlignment="1" applyProtection="1">
      <alignment vertical="top"/>
    </xf>
    <xf numFmtId="0" fontId="0" fillId="0" borderId="52" xfId="0" applyFont="1" applyBorder="1" applyAlignment="1" applyProtection="1">
      <alignment horizontal="center" vertical="top"/>
    </xf>
    <xf numFmtId="0" fontId="57" fillId="0" borderId="0" xfId="34" applyFont="1" applyFill="1" applyBorder="1" applyAlignment="1" applyProtection="1">
      <alignment horizontal="center" vertical="center"/>
    </xf>
    <xf numFmtId="49" fontId="132" fillId="0" borderId="0" xfId="33" applyNumberFormat="1" applyFont="1" applyFill="1" applyBorder="1" applyAlignment="1" applyProtection="1">
      <alignment horizontal="center" vertical="center" wrapText="1"/>
    </xf>
    <xf numFmtId="0" fontId="0" fillId="11" borderId="52" xfId="0" applyFont="1" applyFill="1" applyBorder="1" applyAlignment="1" applyProtection="1">
      <alignment vertical="top"/>
    </xf>
    <xf numFmtId="0" fontId="0" fillId="11" borderId="11" xfId="0" applyFont="1" applyFill="1" applyBorder="1" applyAlignment="1" applyProtection="1">
      <alignment vertical="top"/>
    </xf>
    <xf numFmtId="0" fontId="0" fillId="11" borderId="51" xfId="0" applyFont="1" applyFill="1" applyBorder="1" applyAlignment="1" applyProtection="1">
      <alignment vertical="top"/>
    </xf>
    <xf numFmtId="0" fontId="0" fillId="11" borderId="53" xfId="0" applyFont="1" applyFill="1" applyBorder="1" applyAlignment="1" applyProtection="1">
      <alignment vertical="top"/>
    </xf>
    <xf numFmtId="4" fontId="0" fillId="0" borderId="52" xfId="0" applyNumberFormat="1" applyFont="1" applyBorder="1" applyAlignment="1" applyProtection="1">
      <alignment vertical="top"/>
    </xf>
    <xf numFmtId="4" fontId="33" fillId="6" borderId="11" xfId="0" applyNumberFormat="1" applyFont="1" applyFill="1" applyBorder="1" applyAlignment="1" applyProtection="1">
      <alignment horizontal="right" vertical="center"/>
      <protection locked="0"/>
    </xf>
    <xf numFmtId="4" fontId="0" fillId="0" borderId="51" xfId="0" applyNumberFormat="1" applyFont="1" applyBorder="1" applyAlignment="1" applyProtection="1">
      <alignment vertical="top"/>
    </xf>
    <xf numFmtId="0" fontId="133" fillId="0" borderId="0" xfId="0" applyFont="1" applyAlignment="1" applyProtection="1">
      <alignment vertical="top"/>
    </xf>
    <xf numFmtId="167" fontId="134" fillId="15" borderId="0" xfId="15" applyNumberFormat="1" applyFont="1" applyFill="1" applyAlignment="1">
      <alignment horizontal="center" vertical="center" wrapText="1"/>
    </xf>
    <xf numFmtId="167" fontId="135" fillId="21" borderId="58" xfId="15" applyNumberFormat="1" applyFont="1" applyFill="1" applyBorder="1" applyAlignment="1">
      <alignment horizontal="center" vertical="center" wrapText="1"/>
    </xf>
    <xf numFmtId="167" fontId="134" fillId="21" borderId="58" xfId="15" applyNumberFormat="1" applyFont="1" applyFill="1" applyBorder="1" applyAlignment="1">
      <alignment horizontal="left" vertical="center" wrapText="1"/>
    </xf>
    <xf numFmtId="167" fontId="134" fillId="15" borderId="0" xfId="15" applyNumberFormat="1" applyFont="1" applyFill="1" applyAlignment="1">
      <alignment horizontal="right" vertical="center" wrapText="1"/>
    </xf>
    <xf numFmtId="167" fontId="138" fillId="15" borderId="0" xfId="15" applyNumberFormat="1" applyFont="1" applyFill="1" applyAlignment="1">
      <alignment horizontal="center" vertical="center"/>
    </xf>
    <xf numFmtId="3" fontId="140" fillId="15" borderId="0" xfId="15" applyNumberFormat="1" applyFont="1" applyFill="1" applyAlignment="1">
      <alignment horizontal="right" vertical="center" wrapText="1"/>
    </xf>
    <xf numFmtId="3" fontId="138" fillId="15" borderId="0" xfId="15" applyNumberFormat="1" applyFont="1" applyFill="1" applyAlignment="1">
      <alignment horizontal="right" vertical="center" wrapText="1"/>
    </xf>
    <xf numFmtId="3" fontId="134" fillId="15" borderId="1" xfId="15" applyNumberFormat="1" applyFont="1" applyFill="1" applyBorder="1" applyAlignment="1">
      <alignment horizontal="center" vertical="center" wrapText="1"/>
    </xf>
    <xf numFmtId="167" fontId="144" fillId="15" borderId="0" xfId="15" applyNumberFormat="1" applyFont="1" applyFill="1" applyAlignment="1">
      <alignment vertical="center" wrapText="1"/>
    </xf>
    <xf numFmtId="49" fontId="145" fillId="22" borderId="1" xfId="15" applyFont="1" applyFill="1" applyBorder="1" applyAlignment="1">
      <alignment horizontal="center" vertical="center" wrapText="1"/>
    </xf>
    <xf numFmtId="49" fontId="148" fillId="22" borderId="1" xfId="15" applyFont="1" applyFill="1" applyBorder="1" applyAlignment="1">
      <alignment horizontal="center" vertical="center"/>
    </xf>
    <xf numFmtId="49" fontId="149" fillId="22" borderId="1" xfId="15" applyFont="1" applyFill="1" applyBorder="1" applyAlignment="1">
      <alignment horizontal="center" vertical="center"/>
    </xf>
    <xf numFmtId="49" fontId="146" fillId="22" borderId="1" xfId="15" applyFont="1" applyFill="1" applyBorder="1" applyAlignment="1">
      <alignment vertical="center" wrapText="1"/>
    </xf>
    <xf numFmtId="167" fontId="146" fillId="16" borderId="1" xfId="15" applyNumberFormat="1" applyFont="1" applyFill="1" applyBorder="1" applyAlignment="1">
      <alignment horizontal="center" vertical="center" wrapText="1"/>
    </xf>
    <xf numFmtId="167" fontId="146" fillId="21" borderId="1" xfId="15" applyNumberFormat="1" applyFont="1" applyFill="1" applyBorder="1" applyAlignment="1">
      <alignment horizontal="center" vertical="center" wrapText="1"/>
    </xf>
    <xf numFmtId="49" fontId="150" fillId="22" borderId="1" xfId="15" applyFont="1" applyFill="1" applyBorder="1" applyAlignment="1">
      <alignment horizontal="center" vertical="center" wrapText="1"/>
    </xf>
    <xf numFmtId="49" fontId="151" fillId="22" borderId="1" xfId="15" applyFont="1" applyFill="1" applyBorder="1" applyAlignment="1">
      <alignment horizontal="left" vertical="center" wrapText="1" indent="3"/>
    </xf>
    <xf numFmtId="167" fontId="151" fillId="21" borderId="1" xfId="15" applyNumberFormat="1" applyFont="1" applyFill="1" applyBorder="1" applyAlignment="1">
      <alignment horizontal="center" vertical="center" wrapText="1"/>
    </xf>
    <xf numFmtId="49" fontId="151" fillId="22" borderId="1" xfId="15" applyFont="1" applyFill="1" applyBorder="1" applyAlignment="1">
      <alignment vertical="center" wrapText="1"/>
    </xf>
    <xf numFmtId="0" fontId="146" fillId="0" borderId="1" xfId="15" applyNumberFormat="1" applyFont="1" applyBorder="1" applyAlignment="1">
      <alignment horizontal="center" vertical="center" wrapText="1"/>
    </xf>
    <xf numFmtId="49" fontId="149" fillId="0" borderId="1" xfId="15" applyFont="1" applyBorder="1" applyAlignment="1">
      <alignment horizontal="center" vertical="center" wrapText="1"/>
    </xf>
    <xf numFmtId="49" fontId="151" fillId="0" borderId="1" xfId="15" applyFont="1" applyBorder="1" applyAlignment="1">
      <alignment horizontal="center" vertical="center" wrapText="1"/>
    </xf>
    <xf numFmtId="49" fontId="151" fillId="0" borderId="1" xfId="15" applyFont="1" applyBorder="1" applyAlignment="1">
      <alignment vertical="center" wrapText="1"/>
    </xf>
    <xf numFmtId="49" fontId="152" fillId="21" borderId="1" xfId="15" applyFont="1" applyFill="1" applyBorder="1" applyAlignment="1">
      <alignment vertical="center" wrapText="1"/>
    </xf>
    <xf numFmtId="49" fontId="152" fillId="15" borderId="1" xfId="15" applyFont="1" applyFill="1" applyBorder="1" applyAlignment="1">
      <alignment vertical="center" wrapText="1"/>
    </xf>
    <xf numFmtId="49" fontId="150" fillId="0" borderId="1" xfId="15" applyFont="1" applyBorder="1" applyAlignment="1">
      <alignment horizontal="center" vertical="center" wrapText="1"/>
    </xf>
    <xf numFmtId="49" fontId="145" fillId="0" borderId="1" xfId="15" applyFont="1" applyBorder="1" applyAlignment="1">
      <alignment horizontal="center" vertical="center" wrapText="1"/>
    </xf>
    <xf numFmtId="49" fontId="148" fillId="0" borderId="1" xfId="15" applyFont="1" applyBorder="1" applyAlignment="1">
      <alignment horizontal="center" vertical="center" wrapText="1"/>
    </xf>
    <xf numFmtId="49" fontId="150" fillId="0" borderId="1" xfId="15" applyFont="1" applyBorder="1" applyAlignment="1">
      <alignment vertical="center" wrapText="1"/>
    </xf>
    <xf numFmtId="167" fontId="150" fillId="16" borderId="1" xfId="15" applyNumberFormat="1" applyFont="1" applyFill="1" applyBorder="1" applyAlignment="1">
      <alignment horizontal="center" vertical="center" wrapText="1"/>
    </xf>
    <xf numFmtId="167" fontId="150" fillId="21" borderId="1" xfId="15" applyNumberFormat="1" applyFont="1" applyFill="1" applyBorder="1" applyAlignment="1">
      <alignment horizontal="center" vertical="center"/>
    </xf>
    <xf numFmtId="167" fontId="150" fillId="21" borderId="1" xfId="15" applyNumberFormat="1" applyFont="1" applyFill="1" applyBorder="1" applyAlignment="1">
      <alignment horizontal="center" vertical="center" wrapText="1"/>
    </xf>
    <xf numFmtId="167" fontId="144" fillId="15" borderId="2" xfId="15" applyNumberFormat="1" applyFont="1" applyFill="1" applyBorder="1" applyAlignment="1">
      <alignment horizontal="center" vertical="center" wrapText="1"/>
    </xf>
    <xf numFmtId="1" fontId="153" fillId="0" borderId="1" xfId="15" applyNumberFormat="1" applyFont="1" applyBorder="1" applyAlignment="1">
      <alignment horizontal="center" vertical="center" wrapText="1"/>
    </xf>
    <xf numFmtId="49" fontId="158" fillId="0" borderId="1" xfId="15" applyFont="1" applyBorder="1" applyAlignment="1">
      <alignment horizontal="center" vertical="center" wrapText="1"/>
    </xf>
    <xf numFmtId="167" fontId="145" fillId="21" borderId="1" xfId="15" applyNumberFormat="1" applyFont="1" applyFill="1" applyBorder="1" applyAlignment="1">
      <alignment horizontal="center" vertical="center" wrapText="1"/>
    </xf>
    <xf numFmtId="49" fontId="150" fillId="15" borderId="1" xfId="15" applyFont="1" applyFill="1" applyBorder="1" applyAlignment="1">
      <alignment horizontal="left" vertical="center" wrapText="1" indent="1"/>
    </xf>
    <xf numFmtId="49" fontId="150" fillId="0" borderId="1" xfId="15" applyFont="1" applyBorder="1" applyAlignment="1">
      <alignment horizontal="left" vertical="center" wrapText="1" indent="3"/>
    </xf>
    <xf numFmtId="167" fontId="145" fillId="21" borderId="1" xfId="15" applyNumberFormat="1" applyFont="1" applyFill="1" applyBorder="1" applyAlignment="1">
      <alignment horizontal="center" vertical="center"/>
    </xf>
    <xf numFmtId="49" fontId="146" fillId="0" borderId="1" xfId="15" applyFont="1" applyBorder="1" applyAlignment="1">
      <alignment vertical="center" wrapText="1"/>
    </xf>
    <xf numFmtId="168" fontId="150" fillId="21" borderId="1" xfId="15" applyNumberFormat="1" applyFont="1" applyFill="1" applyBorder="1" applyAlignment="1">
      <alignment horizontal="center" vertical="center" wrapText="1"/>
    </xf>
    <xf numFmtId="168" fontId="145" fillId="21" borderId="1" xfId="15" applyNumberFormat="1" applyFont="1" applyFill="1" applyBorder="1" applyAlignment="1">
      <alignment horizontal="center" vertical="center" wrapText="1"/>
    </xf>
    <xf numFmtId="49" fontId="150" fillId="15" borderId="0" xfId="15" applyFont="1" applyFill="1" applyBorder="1" applyAlignment="1">
      <alignment horizontal="center" vertical="center"/>
    </xf>
    <xf numFmtId="49" fontId="150" fillId="15" borderId="0" xfId="15" applyFont="1" applyFill="1" applyBorder="1" applyAlignment="1">
      <alignment vertical="center" wrapText="1"/>
    </xf>
    <xf numFmtId="49" fontId="150" fillId="15" borderId="0" xfId="15" applyFont="1" applyFill="1" applyBorder="1" applyAlignment="1">
      <alignment horizontal="center" vertical="center" wrapText="1"/>
    </xf>
    <xf numFmtId="168" fontId="150" fillId="15" borderId="0" xfId="15" applyNumberFormat="1" applyFont="1" applyFill="1" applyBorder="1" applyAlignment="1">
      <alignment horizontal="center" vertical="center" wrapText="1"/>
    </xf>
    <xf numFmtId="10" fontId="150" fillId="21" borderId="1" xfId="36" applyNumberFormat="1" applyFont="1" applyFill="1" applyBorder="1" applyAlignment="1">
      <alignment horizontal="center" vertical="center" wrapText="1"/>
    </xf>
    <xf numFmtId="168" fontId="150" fillId="0" borderId="1" xfId="15" applyNumberFormat="1" applyFont="1" applyBorder="1" applyAlignment="1">
      <alignment horizontal="center" vertical="center" wrapText="1"/>
    </xf>
    <xf numFmtId="49" fontId="159" fillId="0" borderId="1" xfId="15" applyFont="1" applyBorder="1" applyAlignment="1">
      <alignment vertical="center" wrapText="1"/>
    </xf>
    <xf numFmtId="0" fontId="153" fillId="0" borderId="1" xfId="15" applyNumberFormat="1" applyFont="1" applyBorder="1" applyAlignment="1">
      <alignment horizontal="center" vertical="center"/>
    </xf>
    <xf numFmtId="49" fontId="148" fillId="0" borderId="1" xfId="15" applyFont="1" applyBorder="1" applyAlignment="1">
      <alignment horizontal="center" vertical="center"/>
    </xf>
    <xf numFmtId="168" fontId="160" fillId="21" borderId="1" xfId="15" applyNumberFormat="1" applyFont="1" applyFill="1" applyBorder="1" applyAlignment="1">
      <alignment horizontal="center" vertical="center"/>
    </xf>
    <xf numFmtId="10" fontId="160" fillId="21" borderId="1" xfId="36" applyNumberFormat="1" applyFont="1" applyFill="1" applyBorder="1" applyAlignment="1">
      <alignment horizontal="center" vertical="center"/>
    </xf>
    <xf numFmtId="49" fontId="145" fillId="15" borderId="0" xfId="15" applyFont="1" applyFill="1" applyBorder="1" applyAlignment="1">
      <alignment horizontal="center" vertical="center"/>
    </xf>
    <xf numFmtId="49" fontId="146" fillId="15" borderId="0" xfId="15" applyFont="1" applyFill="1" applyBorder="1" applyAlignment="1">
      <alignment vertical="center" wrapText="1"/>
    </xf>
    <xf numFmtId="49" fontId="146" fillId="15" borderId="0" xfId="15" applyFont="1" applyFill="1" applyBorder="1" applyAlignment="1">
      <alignment horizontal="center" vertical="center" wrapText="1"/>
    </xf>
    <xf numFmtId="168" fontId="145" fillId="15" borderId="0" xfId="15" applyNumberFormat="1" applyFont="1" applyFill="1" applyBorder="1" applyAlignment="1">
      <alignment horizontal="center" vertical="center" wrapText="1"/>
    </xf>
    <xf numFmtId="168" fontId="160" fillId="15" borderId="0" xfId="15" applyNumberFormat="1" applyFont="1" applyFill="1" applyBorder="1" applyAlignment="1">
      <alignment horizontal="center" vertical="center"/>
    </xf>
    <xf numFmtId="49" fontId="149" fillId="0" borderId="1" xfId="15" applyFont="1" applyBorder="1" applyAlignment="1">
      <alignment vertical="center" wrapText="1"/>
    </xf>
    <xf numFmtId="49" fontId="150" fillId="21" borderId="1" xfId="15" applyFont="1" applyFill="1" applyBorder="1" applyAlignment="1">
      <alignment horizontal="center" vertical="center" wrapText="1"/>
    </xf>
    <xf numFmtId="49" fontId="145" fillId="0" borderId="1" xfId="15" applyFont="1" applyBorder="1" applyAlignment="1">
      <alignment vertical="center" wrapText="1"/>
    </xf>
    <xf numFmtId="49" fontId="161" fillId="0" borderId="1" xfId="15" applyFont="1" applyBorder="1" applyAlignment="1">
      <alignment horizontal="center" vertical="center" wrapText="1"/>
    </xf>
    <xf numFmtId="49" fontId="151" fillId="0" borderId="1" xfId="15" applyFont="1" applyBorder="1" applyAlignment="1">
      <alignment horizontal="justify" vertical="center" wrapText="1"/>
    </xf>
    <xf numFmtId="49" fontId="151" fillId="0" borderId="1" xfId="15" applyFont="1" applyBorder="1" applyAlignment="1">
      <alignment horizontal="left" vertical="center" wrapText="1" indent="2"/>
    </xf>
    <xf numFmtId="49" fontId="151" fillId="0" borderId="1" xfId="15" applyFont="1" applyBorder="1" applyAlignment="1">
      <alignment horizontal="center" vertical="center"/>
    </xf>
    <xf numFmtId="167" fontId="160" fillId="15" borderId="1" xfId="15" applyNumberFormat="1" applyFont="1" applyFill="1" applyBorder="1" applyAlignment="1">
      <alignment horizontal="left" vertical="center" wrapText="1" indent="1"/>
    </xf>
    <xf numFmtId="167" fontId="160" fillId="15" borderId="1" xfId="15" applyNumberFormat="1" applyFont="1" applyFill="1" applyBorder="1" applyAlignment="1">
      <alignment horizontal="left" vertical="center" wrapText="1" indent="2"/>
    </xf>
    <xf numFmtId="167" fontId="163" fillId="16" borderId="1" xfId="15" applyNumberFormat="1" applyFont="1" applyFill="1" applyBorder="1" applyAlignment="1">
      <alignment horizontal="center" vertical="center"/>
    </xf>
    <xf numFmtId="167" fontId="163" fillId="21" borderId="1" xfId="15" applyNumberFormat="1" applyFont="1" applyFill="1" applyBorder="1" applyAlignment="1">
      <alignment horizontal="center" vertical="center"/>
    </xf>
    <xf numFmtId="167" fontId="163" fillId="21" borderId="1" xfId="15" applyNumberFormat="1" applyFont="1" applyFill="1" applyBorder="1" applyAlignment="1">
      <alignment horizontal="center" vertical="center" wrapText="1"/>
    </xf>
    <xf numFmtId="49" fontId="150" fillId="0" borderId="1" xfId="15" applyFont="1" applyBorder="1" applyAlignment="1">
      <alignment vertical="center"/>
    </xf>
    <xf numFmtId="1" fontId="166" fillId="0" borderId="1" xfId="15" applyNumberFormat="1" applyFont="1" applyBorder="1" applyAlignment="1">
      <alignment horizontal="center" vertical="center" wrapText="1"/>
    </xf>
    <xf numFmtId="49" fontId="161" fillId="22" borderId="1" xfId="15" applyFont="1" applyFill="1" applyBorder="1" applyAlignment="1">
      <alignment horizontal="center" vertical="center" wrapText="1"/>
    </xf>
    <xf numFmtId="49" fontId="149" fillId="0" borderId="1" xfId="15" applyFont="1" applyBorder="1" applyAlignment="1">
      <alignment horizontal="center" vertical="center"/>
    </xf>
    <xf numFmtId="49" fontId="151" fillId="22" borderId="1" xfId="15" applyFont="1" applyFill="1" applyBorder="1" applyAlignment="1">
      <alignment horizontal="center" vertical="center" wrapText="1"/>
    </xf>
    <xf numFmtId="1" fontId="146" fillId="0" borderId="1" xfId="15" applyNumberFormat="1" applyFont="1" applyBorder="1" applyAlignment="1">
      <alignment horizontal="center" vertical="center" wrapText="1"/>
    </xf>
    <xf numFmtId="167" fontId="151" fillId="21" borderId="1" xfId="15" applyNumberFormat="1" applyFont="1" applyFill="1" applyBorder="1" applyAlignment="1">
      <alignment vertical="center" wrapText="1"/>
    </xf>
    <xf numFmtId="1" fontId="151" fillId="0" borderId="1" xfId="15" applyNumberFormat="1" applyFont="1" applyBorder="1" applyAlignment="1">
      <alignment horizontal="right" vertical="center" wrapText="1"/>
    </xf>
    <xf numFmtId="49" fontId="152" fillId="0" borderId="1" xfId="15" applyFont="1" applyBorder="1" applyAlignment="1">
      <alignment vertical="center" wrapText="1"/>
    </xf>
    <xf numFmtId="49" fontId="168" fillId="0" borderId="1" xfId="15" applyFont="1" applyBorder="1" applyAlignment="1">
      <alignment horizontal="center" vertical="center" wrapText="1"/>
    </xf>
    <xf numFmtId="4" fontId="146" fillId="0" borderId="1" xfId="15" applyNumberFormat="1" applyFont="1" applyBorder="1" applyAlignment="1">
      <alignment horizontal="center" vertical="center" wrapText="1"/>
    </xf>
    <xf numFmtId="49" fontId="170" fillId="0" borderId="1" xfId="15" applyFont="1" applyBorder="1" applyAlignment="1">
      <alignment horizontal="center" vertical="center" wrapText="1"/>
    </xf>
    <xf numFmtId="49" fontId="160" fillId="0" borderId="1" xfId="15" applyFont="1" applyBorder="1" applyAlignment="1">
      <alignment horizontal="center" vertical="center"/>
    </xf>
    <xf numFmtId="167" fontId="150" fillId="21" borderId="40" xfId="36" applyNumberFormat="1" applyFont="1" applyFill="1" applyBorder="1" applyAlignment="1">
      <alignment horizontal="center" vertical="center" wrapText="1"/>
    </xf>
    <xf numFmtId="167" fontId="150" fillId="21" borderId="40" xfId="15" applyNumberFormat="1" applyFont="1" applyFill="1" applyBorder="1" applyAlignment="1">
      <alignment horizontal="center" vertical="center" wrapText="1"/>
    </xf>
    <xf numFmtId="0" fontId="160" fillId="0" borderId="1" xfId="15" applyNumberFormat="1" applyFont="1" applyBorder="1" applyAlignment="1">
      <alignment horizontal="center" vertical="center" wrapText="1"/>
    </xf>
    <xf numFmtId="0" fontId="159" fillId="0" borderId="1" xfId="15" applyNumberFormat="1" applyFont="1" applyBorder="1" applyAlignment="1">
      <alignment horizontal="center" vertical="center" wrapText="1"/>
    </xf>
    <xf numFmtId="0" fontId="170" fillId="0" borderId="1" xfId="15" applyNumberFormat="1" applyFont="1" applyBorder="1" applyAlignment="1">
      <alignment horizontal="center" vertical="center"/>
    </xf>
    <xf numFmtId="167" fontId="160" fillId="15" borderId="1" xfId="15" applyNumberFormat="1" applyFont="1" applyFill="1" applyBorder="1" applyAlignment="1">
      <alignment horizontal="center" vertical="center" wrapText="1"/>
    </xf>
    <xf numFmtId="49" fontId="153" fillId="0" borderId="1" xfId="15" applyFont="1" applyBorder="1" applyAlignment="1">
      <alignment horizontal="center" vertical="center" wrapText="1"/>
    </xf>
    <xf numFmtId="49" fontId="145" fillId="0" borderId="1" xfId="15" applyFont="1" applyBorder="1" applyAlignment="1">
      <alignment horizontal="left" vertical="center" wrapText="1" indent="2"/>
    </xf>
    <xf numFmtId="49" fontId="177" fillId="0" borderId="39" xfId="15" applyFont="1" applyBorder="1" applyAlignment="1">
      <alignment horizontal="left" vertical="center" wrapText="1" indent="4"/>
    </xf>
    <xf numFmtId="167" fontId="145" fillId="21" borderId="39" xfId="15" applyNumberFormat="1" applyFont="1" applyFill="1" applyBorder="1" applyAlignment="1">
      <alignment horizontal="center" vertical="center" wrapText="1"/>
    </xf>
    <xf numFmtId="49" fontId="160" fillId="0" borderId="39" xfId="15" applyFont="1" applyBorder="1" applyAlignment="1">
      <alignment horizontal="center" vertical="center" wrapText="1"/>
    </xf>
    <xf numFmtId="49" fontId="150" fillId="0" borderId="1" xfId="15" applyFont="1" applyBorder="1" applyAlignment="1">
      <alignment horizontal="left" vertical="center" wrapText="1" indent="4"/>
    </xf>
    <xf numFmtId="167" fontId="145" fillId="0" borderId="1" xfId="15" applyNumberFormat="1" applyFont="1" applyBorder="1" applyAlignment="1">
      <alignment horizontal="center" vertical="center" wrapText="1"/>
    </xf>
    <xf numFmtId="167" fontId="145" fillId="15" borderId="1" xfId="15" applyNumberFormat="1" applyFont="1" applyFill="1" applyBorder="1" applyAlignment="1">
      <alignment horizontal="center" vertical="center" wrapText="1"/>
    </xf>
    <xf numFmtId="49" fontId="150" fillId="0" borderId="1" xfId="15" applyFont="1" applyBorder="1" applyAlignment="1">
      <alignment horizontal="left" vertical="center" wrapText="1" indent="6"/>
    </xf>
    <xf numFmtId="167" fontId="170" fillId="21" borderId="1" xfId="36" applyNumberFormat="1" applyFont="1" applyFill="1" applyBorder="1" applyAlignment="1">
      <alignment horizontal="center" vertical="center" wrapText="1"/>
    </xf>
    <xf numFmtId="167" fontId="150" fillId="0" borderId="1" xfId="15" applyNumberFormat="1" applyFont="1" applyBorder="1" applyAlignment="1">
      <alignment horizontal="center" vertical="center" wrapText="1"/>
    </xf>
    <xf numFmtId="49" fontId="160" fillId="0" borderId="1" xfId="15" applyFont="1" applyBorder="1" applyAlignment="1">
      <alignment vertical="center" wrapText="1"/>
    </xf>
    <xf numFmtId="0" fontId="150" fillId="21" borderId="1" xfId="15" applyNumberFormat="1" applyFont="1" applyFill="1" applyBorder="1" applyAlignment="1">
      <alignment vertical="center" wrapText="1"/>
    </xf>
    <xf numFmtId="49" fontId="160" fillId="21" borderId="1" xfId="15" applyFont="1" applyFill="1" applyBorder="1" applyAlignment="1">
      <alignment vertical="center" wrapText="1"/>
    </xf>
    <xf numFmtId="167" fontId="188" fillId="15" borderId="1" xfId="15" applyNumberFormat="1" applyFont="1" applyFill="1" applyBorder="1" applyAlignment="1">
      <alignment horizontal="center" vertical="center"/>
    </xf>
    <xf numFmtId="167" fontId="188" fillId="15" borderId="1" xfId="15" applyNumberFormat="1" applyFont="1" applyFill="1" applyBorder="1" applyAlignment="1">
      <alignment horizontal="left" vertical="center" wrapText="1"/>
    </xf>
    <xf numFmtId="167" fontId="189" fillId="15" borderId="1" xfId="15" applyNumberFormat="1" applyFont="1" applyFill="1" applyBorder="1" applyAlignment="1">
      <alignment horizontal="center" vertical="center"/>
    </xf>
    <xf numFmtId="167" fontId="189" fillId="15" borderId="1" xfId="15" applyNumberFormat="1" applyFont="1" applyFill="1" applyBorder="1" applyAlignment="1">
      <alignment horizontal="left" vertical="center" wrapText="1" indent="2"/>
    </xf>
    <xf numFmtId="10" fontId="190" fillId="15" borderId="1" xfId="36" applyNumberFormat="1" applyFont="1" applyFill="1" applyBorder="1" applyAlignment="1">
      <alignment horizontal="center" vertical="center"/>
    </xf>
    <xf numFmtId="10" fontId="190" fillId="15" borderId="1" xfId="36" applyNumberFormat="1" applyFont="1" applyFill="1" applyBorder="1" applyAlignment="1">
      <alignment horizontal="left" vertical="center" wrapText="1" indent="2"/>
    </xf>
    <xf numFmtId="10" fontId="191" fillId="15" borderId="1" xfId="36" applyNumberFormat="1" applyFont="1" applyFill="1" applyBorder="1" applyAlignment="1">
      <alignment horizontal="center" vertical="center"/>
    </xf>
    <xf numFmtId="10" fontId="191" fillId="15" borderId="1" xfId="36" applyNumberFormat="1" applyFont="1" applyFill="1" applyBorder="1" applyAlignment="1">
      <alignment horizontal="left" vertical="center" wrapText="1"/>
    </xf>
    <xf numFmtId="10" fontId="163" fillId="21" borderId="1" xfId="36" applyNumberFormat="1" applyFont="1" applyFill="1" applyBorder="1" applyAlignment="1">
      <alignment horizontal="center" vertical="center" wrapText="1"/>
    </xf>
    <xf numFmtId="167" fontId="189" fillId="15" borderId="1" xfId="15" applyNumberFormat="1" applyFont="1" applyFill="1" applyBorder="1" applyAlignment="1">
      <alignment horizontal="left" vertical="center" wrapText="1"/>
    </xf>
    <xf numFmtId="10" fontId="190" fillId="15" borderId="1" xfId="36" applyNumberFormat="1" applyFont="1" applyFill="1" applyBorder="1" applyAlignment="1">
      <alignment horizontal="left" vertical="center" wrapText="1"/>
    </xf>
    <xf numFmtId="0" fontId="145" fillId="0" borderId="1" xfId="15" applyNumberFormat="1" applyFont="1" applyBorder="1" applyAlignment="1">
      <alignment horizontal="center" vertical="center" wrapText="1"/>
    </xf>
    <xf numFmtId="49" fontId="151" fillId="21" borderId="1" xfId="15" applyFont="1" applyFill="1" applyBorder="1" applyAlignment="1">
      <alignment horizontal="center" vertical="center" wrapText="1"/>
    </xf>
    <xf numFmtId="10" fontId="152" fillId="21" borderId="1" xfId="36" applyNumberFormat="1" applyFont="1" applyFill="1" applyBorder="1" applyAlignment="1">
      <alignment vertical="center" wrapText="1"/>
    </xf>
    <xf numFmtId="49" fontId="167" fillId="0" borderId="1" xfId="15" applyFont="1" applyBorder="1" applyAlignment="1">
      <alignment horizontal="center" vertical="center" wrapText="1"/>
    </xf>
    <xf numFmtId="49" fontId="192" fillId="0" borderId="1" xfId="15" applyFont="1" applyBorder="1" applyAlignment="1">
      <alignment horizontal="justify" vertical="center" wrapText="1"/>
    </xf>
    <xf numFmtId="49" fontId="163" fillId="21" borderId="1" xfId="15" applyFont="1" applyFill="1" applyBorder="1" applyAlignment="1">
      <alignment horizontal="center" vertical="center" wrapText="1"/>
    </xf>
    <xf numFmtId="49" fontId="192" fillId="0" borderId="1" xfId="15" applyFont="1" applyBorder="1" applyAlignment="1">
      <alignment vertical="top" wrapText="1"/>
    </xf>
    <xf numFmtId="49" fontId="192" fillId="0" borderId="1" xfId="15" applyFont="1" applyBorder="1" applyAlignment="1">
      <alignment horizontal="justify" vertical="center"/>
    </xf>
    <xf numFmtId="1" fontId="193" fillId="0" borderId="1" xfId="15" applyNumberFormat="1" applyFont="1" applyBorder="1" applyAlignment="1">
      <alignment horizontal="center" vertical="center" wrapText="1"/>
    </xf>
    <xf numFmtId="167" fontId="152" fillId="21" borderId="1" xfId="15" applyNumberFormat="1" applyFont="1" applyFill="1" applyBorder="1" applyAlignment="1">
      <alignment horizontal="center" vertical="center" wrapText="1"/>
    </xf>
    <xf numFmtId="167" fontId="194" fillId="15" borderId="0" xfId="15" applyNumberFormat="1" applyFont="1" applyFill="1" applyAlignment="1">
      <alignment horizontal="center" vertical="center" wrapText="1"/>
    </xf>
    <xf numFmtId="167" fontId="194" fillId="15" borderId="0" xfId="0" applyNumberFormat="1" applyFont="1" applyFill="1"/>
    <xf numFmtId="167" fontId="194" fillId="15" borderId="1" xfId="0" applyNumberFormat="1" applyFont="1" applyFill="1" applyBorder="1" applyAlignment="1">
      <alignment horizontal="right" vertical="center" wrapText="1"/>
    </xf>
    <xf numFmtId="167" fontId="194" fillId="3" borderId="1" xfId="0" applyNumberFormat="1" applyFont="1" applyFill="1" applyBorder="1" applyAlignment="1">
      <alignment horizontal="left" vertical="center" wrapText="1"/>
    </xf>
    <xf numFmtId="167" fontId="194" fillId="15" borderId="0" xfId="0" applyNumberFormat="1" applyFont="1" applyFill="1" applyAlignment="1">
      <alignment horizontal="right" vertical="center" wrapText="1"/>
    </xf>
    <xf numFmtId="167" fontId="194" fillId="15" borderId="0" xfId="0" applyNumberFormat="1" applyFont="1" applyFill="1" applyAlignment="1">
      <alignment horizontal="left" vertical="center" wrapText="1"/>
    </xf>
    <xf numFmtId="1" fontId="194" fillId="3" borderId="1" xfId="0" applyNumberFormat="1" applyFont="1" applyFill="1" applyBorder="1" applyAlignment="1">
      <alignment horizontal="left" vertical="center" wrapText="1"/>
    </xf>
    <xf numFmtId="167" fontId="194" fillId="15" borderId="0" xfId="0" applyNumberFormat="1" applyFont="1" applyFill="1" applyAlignment="1">
      <alignment wrapText="1"/>
    </xf>
    <xf numFmtId="0" fontId="194" fillId="3" borderId="1" xfId="0" applyNumberFormat="1" applyFont="1" applyFill="1" applyBorder="1" applyAlignment="1">
      <alignment horizontal="left" vertical="center" wrapText="1"/>
    </xf>
    <xf numFmtId="49" fontId="194" fillId="3" borderId="1" xfId="0" applyNumberFormat="1" applyFont="1" applyFill="1" applyBorder="1" applyAlignment="1">
      <alignment horizontal="left" vertical="center" wrapText="1"/>
    </xf>
    <xf numFmtId="0" fontId="146" fillId="22" borderId="1" xfId="15" applyNumberFormat="1" applyFont="1" applyFill="1" applyBorder="1" applyAlignment="1">
      <alignment horizontal="center" vertical="center" wrapText="1"/>
    </xf>
    <xf numFmtId="167" fontId="146" fillId="3" borderId="1" xfId="15" applyNumberFormat="1" applyFont="1" applyFill="1" applyBorder="1" applyAlignment="1">
      <alignment horizontal="center" vertical="center" wrapText="1"/>
    </xf>
    <xf numFmtId="167" fontId="151" fillId="3" borderId="1" xfId="15" applyNumberFormat="1" applyFont="1" applyFill="1" applyBorder="1" applyAlignment="1">
      <alignment horizontal="center" vertical="center" wrapText="1"/>
    </xf>
    <xf numFmtId="49" fontId="152" fillId="3" borderId="1" xfId="15" applyFont="1" applyFill="1" applyBorder="1" applyAlignment="1">
      <alignment vertical="center" wrapText="1"/>
    </xf>
    <xf numFmtId="167" fontId="195" fillId="15" borderId="0" xfId="15" applyNumberFormat="1" applyFont="1" applyFill="1" applyAlignment="1">
      <alignment horizontal="left" vertical="center"/>
    </xf>
    <xf numFmtId="167" fontId="136" fillId="15" borderId="0" xfId="15" applyNumberFormat="1" applyFont="1" applyFill="1" applyAlignment="1">
      <alignment horizontal="center" vertical="center" wrapText="1"/>
    </xf>
    <xf numFmtId="167" fontId="152" fillId="3" borderId="1" xfId="15" applyNumberFormat="1" applyFont="1" applyFill="1" applyBorder="1" applyAlignment="1">
      <alignment horizontal="center" vertical="center"/>
    </xf>
    <xf numFmtId="10" fontId="152" fillId="3" borderId="1" xfId="36" applyNumberFormat="1" applyFont="1" applyFill="1" applyBorder="1" applyAlignment="1">
      <alignment horizontal="center" vertical="center"/>
    </xf>
    <xf numFmtId="167" fontId="196" fillId="15" borderId="0" xfId="0" applyNumberFormat="1" applyFont="1" applyFill="1" applyBorder="1" applyAlignment="1">
      <alignment horizontal="center" vertical="center"/>
    </xf>
    <xf numFmtId="167" fontId="196" fillId="15" borderId="0" xfId="0" applyNumberFormat="1" applyFont="1" applyFill="1" applyAlignment="1">
      <alignment horizontal="center" vertical="center"/>
    </xf>
    <xf numFmtId="167" fontId="197" fillId="15" borderId="0" xfId="0" applyNumberFormat="1" applyFont="1" applyFill="1" applyAlignment="1">
      <alignment horizontal="center" vertical="center"/>
    </xf>
    <xf numFmtId="167" fontId="199" fillId="15" borderId="0" xfId="0" applyNumberFormat="1" applyFont="1" applyFill="1" applyAlignment="1">
      <alignment horizontal="left" vertical="center"/>
    </xf>
    <xf numFmtId="171" fontId="197" fillId="15" borderId="0" xfId="0" applyNumberFormat="1" applyFont="1" applyFill="1" applyAlignment="1">
      <alignment horizontal="center" vertical="center"/>
    </xf>
    <xf numFmtId="167" fontId="200" fillId="24" borderId="75" xfId="0" applyNumberFormat="1" applyFont="1" applyFill="1" applyBorder="1" applyAlignment="1">
      <alignment horizontal="center" vertical="center" wrapText="1"/>
    </xf>
    <xf numFmtId="167" fontId="200" fillId="24" borderId="75" xfId="0" applyNumberFormat="1" applyFont="1" applyFill="1" applyBorder="1" applyAlignment="1">
      <alignment horizontal="center" vertical="center"/>
    </xf>
    <xf numFmtId="167" fontId="200" fillId="24" borderId="79" xfId="0" applyNumberFormat="1" applyFont="1" applyFill="1" applyBorder="1" applyAlignment="1">
      <alignment horizontal="center" vertical="center"/>
    </xf>
    <xf numFmtId="167" fontId="200" fillId="25" borderId="75" xfId="0" applyNumberFormat="1" applyFont="1" applyFill="1" applyBorder="1" applyAlignment="1">
      <alignment horizontal="center" vertical="center"/>
    </xf>
    <xf numFmtId="167" fontId="200" fillId="25" borderId="79" xfId="0" applyNumberFormat="1" applyFont="1" applyFill="1" applyBorder="1" applyAlignment="1">
      <alignment horizontal="center" vertical="center"/>
    </xf>
    <xf numFmtId="167" fontId="200" fillId="25" borderId="76" xfId="0" applyNumberFormat="1" applyFont="1" applyFill="1" applyBorder="1" applyAlignment="1">
      <alignment horizontal="center" vertical="center"/>
    </xf>
    <xf numFmtId="167" fontId="201" fillId="15" borderId="0" xfId="0" applyNumberFormat="1" applyFont="1" applyFill="1" applyAlignment="1">
      <alignment horizontal="center" vertical="center"/>
    </xf>
    <xf numFmtId="167" fontId="201" fillId="15" borderId="38" xfId="0" applyNumberFormat="1" applyFont="1" applyFill="1" applyBorder="1" applyAlignment="1">
      <alignment horizontal="center" vertical="center"/>
    </xf>
    <xf numFmtId="167" fontId="201" fillId="15" borderId="62" xfId="0" applyNumberFormat="1" applyFont="1" applyFill="1" applyBorder="1" applyAlignment="1">
      <alignment horizontal="right" vertical="center" wrapText="1"/>
    </xf>
    <xf numFmtId="167" fontId="201" fillId="15" borderId="64" xfId="0" applyNumberFormat="1" applyFont="1" applyFill="1" applyBorder="1" applyAlignment="1">
      <alignment horizontal="center" vertical="center" wrapText="1"/>
    </xf>
    <xf numFmtId="167" fontId="201" fillId="15" borderId="62" xfId="0" applyNumberFormat="1" applyFont="1" applyFill="1" applyBorder="1" applyAlignment="1">
      <alignment horizontal="center" vertical="center"/>
    </xf>
    <xf numFmtId="167" fontId="201" fillId="3" borderId="38" xfId="0" applyNumberFormat="1" applyFont="1" applyFill="1" applyBorder="1" applyAlignment="1">
      <alignment horizontal="center" vertical="center"/>
    </xf>
    <xf numFmtId="167" fontId="201" fillId="3" borderId="66" xfId="0" applyNumberFormat="1" applyFont="1" applyFill="1" applyBorder="1" applyAlignment="1">
      <alignment horizontal="center" vertical="center"/>
    </xf>
    <xf numFmtId="167" fontId="202" fillId="15" borderId="0" xfId="0" applyNumberFormat="1" applyFont="1" applyFill="1" applyAlignment="1">
      <alignment horizontal="center" vertical="center"/>
    </xf>
    <xf numFmtId="167" fontId="202" fillId="26" borderId="72" xfId="0" applyNumberFormat="1" applyFont="1" applyFill="1" applyBorder="1" applyAlignment="1">
      <alignment horizontal="center" vertical="center" wrapText="1"/>
    </xf>
    <xf numFmtId="167" fontId="202" fillId="26" borderId="74" xfId="0" applyNumberFormat="1" applyFont="1" applyFill="1" applyBorder="1" applyAlignment="1">
      <alignment horizontal="center" vertical="center"/>
    </xf>
    <xf numFmtId="167" fontId="201" fillId="15" borderId="73" xfId="0" applyNumberFormat="1" applyFont="1" applyFill="1" applyBorder="1" applyAlignment="1">
      <alignment horizontal="center" vertical="center"/>
    </xf>
    <xf numFmtId="167" fontId="201" fillId="15" borderId="1" xfId="0" applyNumberFormat="1" applyFont="1" applyFill="1" applyBorder="1" applyAlignment="1">
      <alignment horizontal="center" vertical="center"/>
    </xf>
    <xf numFmtId="167" fontId="201" fillId="3" borderId="73" xfId="0" applyNumberFormat="1" applyFont="1" applyFill="1" applyBorder="1" applyAlignment="1">
      <alignment horizontal="center" vertical="center"/>
    </xf>
    <xf numFmtId="167" fontId="201" fillId="3" borderId="1" xfId="0" applyNumberFormat="1" applyFont="1" applyFill="1" applyBorder="1" applyAlignment="1">
      <alignment horizontal="center" vertical="center"/>
    </xf>
    <xf numFmtId="167" fontId="201" fillId="26" borderId="72" xfId="0" applyNumberFormat="1" applyFont="1" applyFill="1" applyBorder="1" applyAlignment="1">
      <alignment horizontal="center" vertical="center" wrapText="1"/>
    </xf>
    <xf numFmtId="167" fontId="201" fillId="15" borderId="74" xfId="0" applyNumberFormat="1" applyFont="1" applyFill="1" applyBorder="1" applyAlignment="1">
      <alignment horizontal="right" vertical="center" wrapText="1"/>
    </xf>
    <xf numFmtId="167" fontId="201" fillId="15" borderId="72" xfId="0" applyNumberFormat="1" applyFont="1" applyFill="1" applyBorder="1" applyAlignment="1">
      <alignment horizontal="center" vertical="center" wrapText="1"/>
    </xf>
    <xf numFmtId="167" fontId="201" fillId="15" borderId="86" xfId="0" applyNumberFormat="1" applyFont="1" applyFill="1" applyBorder="1" applyAlignment="1">
      <alignment horizontal="center" vertical="center"/>
    </xf>
    <xf numFmtId="167" fontId="201" fillId="15" borderId="85" xfId="0" applyNumberFormat="1" applyFont="1" applyFill="1" applyBorder="1" applyAlignment="1">
      <alignment horizontal="center" vertical="center"/>
    </xf>
    <xf numFmtId="167" fontId="203" fillId="15" borderId="0" xfId="0" applyNumberFormat="1" applyFont="1" applyFill="1" applyAlignment="1">
      <alignment horizontal="center" vertical="center"/>
    </xf>
    <xf numFmtId="167" fontId="203" fillId="15" borderId="73" xfId="0" applyNumberFormat="1" applyFont="1" applyFill="1" applyBorder="1" applyAlignment="1">
      <alignment horizontal="center" vertical="center"/>
    </xf>
    <xf numFmtId="167" fontId="203" fillId="15" borderId="74" xfId="0" applyNumberFormat="1" applyFont="1" applyFill="1" applyBorder="1" applyAlignment="1">
      <alignment horizontal="left" vertical="center" wrapText="1"/>
    </xf>
    <xf numFmtId="167" fontId="203" fillId="15" borderId="72" xfId="0" applyNumberFormat="1" applyFont="1" applyFill="1" applyBorder="1" applyAlignment="1">
      <alignment horizontal="center" vertical="center" wrapText="1"/>
    </xf>
    <xf numFmtId="167" fontId="203" fillId="15" borderId="48" xfId="0" applyNumberFormat="1" applyFont="1" applyFill="1" applyBorder="1" applyAlignment="1">
      <alignment horizontal="center" vertical="center"/>
    </xf>
    <xf numFmtId="167" fontId="203" fillId="15" borderId="74" xfId="0" applyNumberFormat="1" applyFont="1" applyFill="1" applyBorder="1" applyAlignment="1">
      <alignment horizontal="center" vertical="center"/>
    </xf>
    <xf numFmtId="167" fontId="196" fillId="15" borderId="73" xfId="0" applyNumberFormat="1" applyFont="1" applyFill="1" applyBorder="1" applyAlignment="1">
      <alignment horizontal="center" vertical="center"/>
    </xf>
    <xf numFmtId="167" fontId="196" fillId="15" borderId="74" xfId="0" applyNumberFormat="1" applyFont="1" applyFill="1" applyBorder="1" applyAlignment="1">
      <alignment horizontal="left" vertical="center" wrapText="1" indent="2"/>
    </xf>
    <xf numFmtId="167" fontId="196" fillId="15" borderId="72" xfId="0" applyNumberFormat="1" applyFont="1" applyFill="1" applyBorder="1" applyAlignment="1">
      <alignment horizontal="center" vertical="center" wrapText="1"/>
    </xf>
    <xf numFmtId="167" fontId="196" fillId="15" borderId="74" xfId="0" applyNumberFormat="1" applyFont="1" applyFill="1" applyBorder="1" applyAlignment="1">
      <alignment horizontal="center" vertical="center"/>
    </xf>
    <xf numFmtId="167" fontId="196" fillId="15" borderId="1" xfId="0" applyNumberFormat="1" applyFont="1" applyFill="1" applyBorder="1" applyAlignment="1">
      <alignment horizontal="center" vertical="center"/>
    </xf>
    <xf numFmtId="167" fontId="196" fillId="3" borderId="73" xfId="0" applyNumberFormat="1" applyFont="1" applyFill="1" applyBorder="1" applyAlignment="1">
      <alignment horizontal="center" vertical="center"/>
    </xf>
    <xf numFmtId="167" fontId="196" fillId="3" borderId="1" xfId="0" applyNumberFormat="1" applyFont="1" applyFill="1" applyBorder="1" applyAlignment="1">
      <alignment horizontal="center" vertical="center"/>
    </xf>
    <xf numFmtId="167" fontId="196" fillId="15" borderId="80" xfId="0" applyNumberFormat="1" applyFont="1" applyFill="1" applyBorder="1" applyAlignment="1">
      <alignment horizontal="center" vertical="center"/>
    </xf>
    <xf numFmtId="167" fontId="196" fillId="15" borderId="81" xfId="0" applyNumberFormat="1" applyFont="1" applyFill="1" applyBorder="1" applyAlignment="1">
      <alignment horizontal="left" vertical="center" wrapText="1" indent="2"/>
    </xf>
    <xf numFmtId="167" fontId="196" fillId="15" borderId="87" xfId="0" applyNumberFormat="1" applyFont="1" applyFill="1" applyBorder="1" applyAlignment="1">
      <alignment horizontal="center" vertical="center" wrapText="1"/>
    </xf>
    <xf numFmtId="167" fontId="196" fillId="15" borderId="81" xfId="0" applyNumberFormat="1" applyFont="1" applyFill="1" applyBorder="1" applyAlignment="1">
      <alignment horizontal="center" vertical="center"/>
    </xf>
    <xf numFmtId="167" fontId="196" fillId="15" borderId="39" xfId="0" applyNumberFormat="1" applyFont="1" applyFill="1" applyBorder="1" applyAlignment="1">
      <alignment horizontal="center" vertical="center"/>
    </xf>
    <xf numFmtId="167" fontId="196" fillId="3" borderId="80" xfId="0" applyNumberFormat="1" applyFont="1" applyFill="1" applyBorder="1" applyAlignment="1">
      <alignment horizontal="center" vertical="center"/>
    </xf>
    <xf numFmtId="167" fontId="196" fillId="3" borderId="39" xfId="0" applyNumberFormat="1" applyFont="1" applyFill="1" applyBorder="1" applyAlignment="1">
      <alignment horizontal="center" vertical="center"/>
    </xf>
    <xf numFmtId="167" fontId="203" fillId="27" borderId="89" xfId="0" applyNumberFormat="1" applyFont="1" applyFill="1" applyBorder="1" applyAlignment="1">
      <alignment horizontal="center" vertical="center"/>
    </xf>
    <xf numFmtId="167" fontId="204" fillId="27" borderId="90" xfId="0" applyNumberFormat="1" applyFont="1" applyFill="1" applyBorder="1" applyAlignment="1">
      <alignment horizontal="left" vertical="center" wrapText="1"/>
    </xf>
    <xf numFmtId="167" fontId="203" fillId="27" borderId="91" xfId="0" applyNumberFormat="1" applyFont="1" applyFill="1" applyBorder="1" applyAlignment="1">
      <alignment horizontal="center" vertical="center" wrapText="1"/>
    </xf>
    <xf numFmtId="167" fontId="205" fillId="27" borderId="89" xfId="0" applyNumberFormat="1" applyFont="1" applyFill="1" applyBorder="1" applyAlignment="1">
      <alignment horizontal="center" vertical="center"/>
    </xf>
    <xf numFmtId="167" fontId="205" fillId="27" borderId="92" xfId="0" applyNumberFormat="1" applyFont="1" applyFill="1" applyBorder="1" applyAlignment="1">
      <alignment horizontal="center" vertical="center"/>
    </xf>
    <xf numFmtId="167" fontId="205" fillId="27" borderId="90" xfId="0" applyNumberFormat="1" applyFont="1" applyFill="1" applyBorder="1" applyAlignment="1">
      <alignment horizontal="center" vertical="center"/>
    </xf>
    <xf numFmtId="167" fontId="196" fillId="15" borderId="78" xfId="0" applyNumberFormat="1" applyFont="1" applyFill="1" applyBorder="1" applyAlignment="1">
      <alignment horizontal="center" vertical="center"/>
    </xf>
    <xf numFmtId="167" fontId="202" fillId="3" borderId="94" xfId="0" applyNumberFormat="1" applyFont="1" applyFill="1" applyBorder="1" applyAlignment="1">
      <alignment vertical="center"/>
    </xf>
    <xf numFmtId="167" fontId="202" fillId="3" borderId="49" xfId="0" applyNumberFormat="1" applyFont="1" applyFill="1" applyBorder="1" applyAlignment="1">
      <alignment vertical="center"/>
    </xf>
    <xf numFmtId="167" fontId="202" fillId="15" borderId="73" xfId="0" applyNumberFormat="1" applyFont="1" applyFill="1" applyBorder="1" applyAlignment="1">
      <alignment horizontal="center" vertical="center"/>
    </xf>
    <xf numFmtId="167" fontId="202" fillId="15" borderId="74" xfId="0" applyNumberFormat="1" applyFont="1" applyFill="1" applyBorder="1" applyAlignment="1">
      <alignment horizontal="right" vertical="center" wrapText="1"/>
    </xf>
    <xf numFmtId="167" fontId="202" fillId="15" borderId="72" xfId="0" applyNumberFormat="1" applyFont="1" applyFill="1" applyBorder="1" applyAlignment="1">
      <alignment horizontal="center" vertical="center" wrapText="1"/>
    </xf>
    <xf numFmtId="167" fontId="202" fillId="15" borderId="74" xfId="0" applyNumberFormat="1" applyFont="1" applyFill="1" applyBorder="1" applyAlignment="1">
      <alignment horizontal="center" vertical="center"/>
    </xf>
    <xf numFmtId="167" fontId="203" fillId="15" borderId="1" xfId="0" applyNumberFormat="1" applyFont="1" applyFill="1" applyBorder="1" applyAlignment="1">
      <alignment horizontal="center" vertical="center"/>
    </xf>
    <xf numFmtId="167" fontId="203" fillId="27" borderId="90" xfId="0" applyNumberFormat="1" applyFont="1" applyFill="1" applyBorder="1" applyAlignment="1">
      <alignment horizontal="left" vertical="center" wrapText="1"/>
    </xf>
    <xf numFmtId="167" fontId="203" fillId="27" borderId="92" xfId="0" applyNumberFormat="1" applyFont="1" applyFill="1" applyBorder="1" applyAlignment="1">
      <alignment horizontal="center" vertical="center"/>
    </xf>
    <xf numFmtId="167" fontId="203" fillId="27" borderId="90" xfId="0" applyNumberFormat="1" applyFont="1" applyFill="1" applyBorder="1" applyAlignment="1">
      <alignment horizontal="center" vertical="center"/>
    </xf>
    <xf numFmtId="167" fontId="207" fillId="15" borderId="0" xfId="0" applyNumberFormat="1" applyFont="1" applyFill="1" applyAlignment="1">
      <alignment horizontal="center" vertical="center"/>
    </xf>
    <xf numFmtId="167" fontId="202" fillId="3" borderId="68" xfId="0" applyNumberFormat="1" applyFont="1" applyFill="1" applyBorder="1" applyAlignment="1">
      <alignment vertical="center"/>
    </xf>
    <xf numFmtId="167" fontId="196" fillId="15" borderId="95" xfId="0" applyNumberFormat="1" applyFont="1" applyFill="1" applyBorder="1" applyAlignment="1">
      <alignment horizontal="center" vertical="center"/>
    </xf>
    <xf numFmtId="167" fontId="201" fillId="3" borderId="65" xfId="0" applyNumberFormat="1" applyFont="1" applyFill="1" applyBorder="1" applyAlignment="1">
      <alignment horizontal="center" vertical="center"/>
    </xf>
    <xf numFmtId="167" fontId="202" fillId="3" borderId="41" xfId="0" applyNumberFormat="1" applyFont="1" applyFill="1" applyBorder="1" applyAlignment="1">
      <alignment horizontal="center" vertical="center"/>
    </xf>
    <xf numFmtId="167" fontId="201" fillId="3" borderId="49" xfId="0" applyNumberFormat="1" applyFont="1" applyFill="1" applyBorder="1" applyAlignment="1">
      <alignment horizontal="center" vertical="center"/>
    </xf>
    <xf numFmtId="167" fontId="203" fillId="3" borderId="41" xfId="0" applyNumberFormat="1" applyFont="1" applyFill="1" applyBorder="1" applyAlignment="1">
      <alignment horizontal="center" vertical="center"/>
    </xf>
    <xf numFmtId="167" fontId="196" fillId="3" borderId="41" xfId="0" applyNumberFormat="1" applyFont="1" applyFill="1" applyBorder="1" applyAlignment="1">
      <alignment horizontal="center" vertical="center"/>
    </xf>
    <xf numFmtId="167" fontId="196" fillId="3" borderId="56" xfId="0" applyNumberFormat="1" applyFont="1" applyFill="1" applyBorder="1" applyAlignment="1">
      <alignment horizontal="center" vertical="center"/>
    </xf>
    <xf numFmtId="167" fontId="205" fillId="3" borderId="96" xfId="0" applyNumberFormat="1" applyFont="1" applyFill="1" applyBorder="1" applyAlignment="1">
      <alignment horizontal="center" vertical="center"/>
    </xf>
    <xf numFmtId="167" fontId="203" fillId="3" borderId="96" xfId="0" applyNumberFormat="1" applyFont="1" applyFill="1" applyBorder="1" applyAlignment="1">
      <alignment horizontal="center" vertical="center"/>
    </xf>
    <xf numFmtId="167" fontId="201" fillId="15" borderId="97" xfId="0" applyNumberFormat="1" applyFont="1" applyFill="1" applyBorder="1" applyAlignment="1">
      <alignment horizontal="center" vertical="center"/>
    </xf>
    <xf numFmtId="167" fontId="202" fillId="26" borderId="40" xfId="0" applyNumberFormat="1" applyFont="1" applyFill="1" applyBorder="1" applyAlignment="1">
      <alignment horizontal="center" vertical="center"/>
    </xf>
    <xf numFmtId="167" fontId="201" fillId="15" borderId="46" xfId="0" applyNumberFormat="1" applyFont="1" applyFill="1" applyBorder="1" applyAlignment="1">
      <alignment horizontal="center" vertical="center"/>
    </xf>
    <xf numFmtId="167" fontId="203" fillId="15" borderId="40" xfId="0" applyNumberFormat="1" applyFont="1" applyFill="1" applyBorder="1" applyAlignment="1">
      <alignment horizontal="center" vertical="center"/>
    </xf>
    <xf numFmtId="167" fontId="196" fillId="15" borderId="40" xfId="0" applyNumberFormat="1" applyFont="1" applyFill="1" applyBorder="1" applyAlignment="1">
      <alignment horizontal="center" vertical="center"/>
    </xf>
    <xf numFmtId="167" fontId="196" fillId="15" borderId="44" xfId="0" applyNumberFormat="1" applyFont="1" applyFill="1" applyBorder="1" applyAlignment="1">
      <alignment horizontal="center" vertical="center"/>
    </xf>
    <xf numFmtId="167" fontId="205" fillId="27" borderId="98" xfId="0" applyNumberFormat="1" applyFont="1" applyFill="1" applyBorder="1" applyAlignment="1">
      <alignment horizontal="center" vertical="center"/>
    </xf>
    <xf numFmtId="167" fontId="201" fillId="3" borderId="64" xfId="0" applyNumberFormat="1" applyFont="1" applyFill="1" applyBorder="1" applyAlignment="1">
      <alignment horizontal="center" vertical="center"/>
    </xf>
    <xf numFmtId="167" fontId="202" fillId="3" borderId="72" xfId="0" applyNumberFormat="1" applyFont="1" applyFill="1" applyBorder="1" applyAlignment="1">
      <alignment horizontal="center" vertical="center"/>
    </xf>
    <xf numFmtId="167" fontId="201" fillId="3" borderId="82" xfId="0" applyNumberFormat="1" applyFont="1" applyFill="1" applyBorder="1" applyAlignment="1">
      <alignment horizontal="center" vertical="center"/>
    </xf>
    <xf numFmtId="167" fontId="203" fillId="3" borderId="72" xfId="0" applyNumberFormat="1" applyFont="1" applyFill="1" applyBorder="1" applyAlignment="1">
      <alignment horizontal="center" vertical="center"/>
    </xf>
    <xf numFmtId="167" fontId="196" fillId="3" borderId="72" xfId="0" applyNumberFormat="1" applyFont="1" applyFill="1" applyBorder="1" applyAlignment="1">
      <alignment horizontal="center" vertical="center"/>
    </xf>
    <xf numFmtId="167" fontId="196" fillId="3" borderId="87" xfId="0" applyNumberFormat="1" applyFont="1" applyFill="1" applyBorder="1" applyAlignment="1">
      <alignment horizontal="center" vertical="center"/>
    </xf>
    <xf numFmtId="167" fontId="205" fillId="3" borderId="91" xfId="0" applyNumberFormat="1" applyFont="1" applyFill="1" applyBorder="1" applyAlignment="1">
      <alignment horizontal="center" vertical="center"/>
    </xf>
    <xf numFmtId="167" fontId="203" fillId="3" borderId="91" xfId="0" applyNumberFormat="1" applyFont="1" applyFill="1" applyBorder="1" applyAlignment="1">
      <alignment horizontal="center" vertical="center"/>
    </xf>
    <xf numFmtId="167" fontId="202" fillId="3" borderId="84" xfId="0" applyNumberFormat="1" applyFont="1" applyFill="1" applyBorder="1" applyAlignment="1">
      <alignment horizontal="center" vertical="center"/>
    </xf>
    <xf numFmtId="167" fontId="203" fillId="3" borderId="84" xfId="0" applyNumberFormat="1" applyFont="1" applyFill="1" applyBorder="1" applyAlignment="1">
      <alignment horizontal="center" vertical="center"/>
    </xf>
    <xf numFmtId="167" fontId="196" fillId="3" borderId="84" xfId="0" applyNumberFormat="1" applyFont="1" applyFill="1" applyBorder="1" applyAlignment="1">
      <alignment horizontal="center" vertical="center"/>
    </xf>
    <xf numFmtId="167" fontId="196" fillId="3" borderId="93" xfId="0" applyNumberFormat="1" applyFont="1" applyFill="1" applyBorder="1" applyAlignment="1">
      <alignment horizontal="center" vertical="center"/>
    </xf>
    <xf numFmtId="167" fontId="203" fillId="3" borderId="100" xfId="0" applyNumberFormat="1" applyFont="1" applyFill="1" applyBorder="1" applyAlignment="1">
      <alignment horizontal="center" vertical="center"/>
    </xf>
    <xf numFmtId="49" fontId="148" fillId="15" borderId="1" xfId="15" applyFont="1" applyFill="1" applyBorder="1" applyAlignment="1">
      <alignment horizontal="center" vertical="center" wrapText="1"/>
    </xf>
    <xf numFmtId="49" fontId="150" fillId="15" borderId="1" xfId="15" applyFont="1" applyFill="1" applyBorder="1" applyAlignment="1">
      <alignment vertical="center" wrapText="1"/>
    </xf>
    <xf numFmtId="167" fontId="196" fillId="15" borderId="72" xfId="0" applyNumberFormat="1" applyFont="1" applyFill="1" applyBorder="1" applyAlignment="1">
      <alignment horizontal="center" vertical="center"/>
    </xf>
    <xf numFmtId="10" fontId="194" fillId="3" borderId="1" xfId="1" applyNumberFormat="1" applyFont="1" applyFill="1" applyBorder="1" applyAlignment="1">
      <alignment horizontal="center" vertical="center"/>
    </xf>
    <xf numFmtId="167" fontId="211" fillId="3" borderId="1" xfId="0" applyNumberFormat="1" applyFont="1" applyFill="1" applyBorder="1" applyAlignment="1">
      <alignment horizontal="center" vertical="center" wrapText="1"/>
    </xf>
    <xf numFmtId="0" fontId="40" fillId="23" borderId="1" xfId="0" applyNumberFormat="1" applyFont="1" applyFill="1" applyBorder="1" applyAlignment="1" applyProtection="1">
      <alignment vertical="top"/>
    </xf>
    <xf numFmtId="0" fontId="39" fillId="23" borderId="1" xfId="11" applyFont="1" applyFill="1" applyBorder="1" applyProtection="1">
      <alignment horizontal="center" vertical="center" wrapText="1"/>
    </xf>
    <xf numFmtId="4" fontId="40" fillId="23" borderId="1" xfId="18" applyFont="1" applyFill="1" applyBorder="1" applyProtection="1">
      <alignment horizontal="right"/>
    </xf>
    <xf numFmtId="4" fontId="39" fillId="23" borderId="1" xfId="18" applyFont="1" applyFill="1" applyBorder="1" applyProtection="1">
      <alignment horizontal="right"/>
    </xf>
    <xf numFmtId="10" fontId="194" fillId="3" borderId="74" xfId="1" applyNumberFormat="1" applyFont="1" applyFill="1" applyBorder="1" applyAlignment="1">
      <alignment horizontal="center" vertical="center"/>
    </xf>
    <xf numFmtId="167" fontId="211" fillId="3" borderId="74" xfId="0" applyNumberFormat="1" applyFont="1" applyFill="1" applyBorder="1" applyAlignment="1">
      <alignment horizontal="center" vertical="center" wrapText="1"/>
    </xf>
    <xf numFmtId="167" fontId="196" fillId="15" borderId="75" xfId="0" applyNumberFormat="1" applyFont="1" applyFill="1" applyBorder="1" applyAlignment="1">
      <alignment horizontal="center" vertical="center"/>
    </xf>
    <xf numFmtId="167" fontId="211" fillId="3" borderId="79" xfId="0" applyNumberFormat="1" applyFont="1" applyFill="1" applyBorder="1" applyAlignment="1">
      <alignment horizontal="center" vertical="center" wrapText="1"/>
    </xf>
    <xf numFmtId="167" fontId="211" fillId="3" borderId="76" xfId="0" applyNumberFormat="1" applyFont="1" applyFill="1" applyBorder="1" applyAlignment="1">
      <alignment horizontal="center" vertical="center" wrapText="1"/>
    </xf>
    <xf numFmtId="167" fontId="196" fillId="15" borderId="40" xfId="0" applyNumberFormat="1" applyFont="1" applyFill="1" applyBorder="1" applyAlignment="1">
      <alignment horizontal="left" vertical="center" wrapText="1"/>
    </xf>
    <xf numFmtId="167" fontId="196" fillId="15" borderId="99" xfId="0" applyNumberFormat="1" applyFont="1" applyFill="1" applyBorder="1" applyAlignment="1">
      <alignment horizontal="left" vertical="center" wrapText="1"/>
    </xf>
    <xf numFmtId="10" fontId="194" fillId="3" borderId="48" xfId="1" applyNumberFormat="1" applyFont="1" applyFill="1" applyBorder="1" applyAlignment="1">
      <alignment horizontal="center" vertical="center"/>
    </xf>
    <xf numFmtId="167" fontId="196" fillId="15" borderId="88" xfId="0" applyNumberFormat="1" applyFont="1" applyFill="1" applyBorder="1" applyAlignment="1">
      <alignment horizontal="center" vertical="center"/>
    </xf>
    <xf numFmtId="167" fontId="196" fillId="15" borderId="83" xfId="0" applyNumberFormat="1" applyFont="1" applyFill="1" applyBorder="1" applyAlignment="1">
      <alignment horizontal="center" vertical="center"/>
    </xf>
    <xf numFmtId="167" fontId="196" fillId="15" borderId="46" xfId="0" applyNumberFormat="1" applyFont="1" applyFill="1" applyBorder="1" applyAlignment="1">
      <alignment horizontal="left" vertical="center" wrapText="1"/>
    </xf>
    <xf numFmtId="167" fontId="196" fillId="15" borderId="82" xfId="0" applyNumberFormat="1" applyFont="1" applyFill="1" applyBorder="1" applyAlignment="1">
      <alignment horizontal="center" vertical="center"/>
    </xf>
    <xf numFmtId="10" fontId="194" fillId="3" borderId="47" xfId="1" applyNumberFormat="1" applyFont="1" applyFill="1" applyBorder="1" applyAlignment="1">
      <alignment horizontal="center" vertical="center"/>
    </xf>
    <xf numFmtId="10" fontId="194" fillId="3" borderId="43" xfId="1" applyNumberFormat="1" applyFont="1" applyFill="1" applyBorder="1" applyAlignment="1">
      <alignment horizontal="center" vertical="center"/>
    </xf>
    <xf numFmtId="10" fontId="194" fillId="3" borderId="85" xfId="1" applyNumberFormat="1" applyFont="1" applyFill="1" applyBorder="1" applyAlignment="1">
      <alignment horizontal="center" vertical="center"/>
    </xf>
    <xf numFmtId="167" fontId="200" fillId="24" borderId="101" xfId="0" applyNumberFormat="1" applyFont="1" applyFill="1" applyBorder="1" applyAlignment="1">
      <alignment horizontal="center" vertical="center" wrapText="1"/>
    </xf>
    <xf numFmtId="167" fontId="200" fillId="24" borderId="79" xfId="0" applyNumberFormat="1" applyFont="1" applyFill="1" applyBorder="1" applyAlignment="1">
      <alignment horizontal="center" vertical="center" wrapText="1"/>
    </xf>
    <xf numFmtId="167" fontId="200" fillId="24" borderId="76" xfId="0" applyNumberFormat="1" applyFont="1" applyFill="1" applyBorder="1" applyAlignment="1">
      <alignment horizontal="center" vertical="center" wrapText="1"/>
    </xf>
    <xf numFmtId="4" fontId="40" fillId="14" borderId="1" xfId="18" applyFont="1" applyFill="1" applyBorder="1" applyAlignment="1" applyProtection="1">
      <alignment horizontal="center" vertical="center"/>
    </xf>
    <xf numFmtId="4" fontId="40" fillId="23" borderId="1" xfId="18" applyFont="1" applyFill="1" applyBorder="1" applyAlignment="1" applyProtection="1">
      <alignment horizontal="center" vertical="center"/>
    </xf>
    <xf numFmtId="0" fontId="5" fillId="23" borderId="17" xfId="11" applyFont="1" applyFill="1" applyBorder="1" applyAlignment="1" applyProtection="1">
      <alignment horizontal="center" vertical="center" wrapText="1"/>
    </xf>
    <xf numFmtId="0" fontId="5" fillId="23" borderId="16" xfId="11" applyFont="1" applyFill="1" applyBorder="1" applyAlignment="1" applyProtection="1">
      <alignment horizontal="center" vertical="center" wrapText="1"/>
    </xf>
    <xf numFmtId="0" fontId="212" fillId="0" borderId="0" xfId="9" applyFont="1" applyFill="1" applyAlignment="1" applyProtection="1">
      <alignment vertical="center" wrapText="1"/>
    </xf>
    <xf numFmtId="0" fontId="212" fillId="0" borderId="0" xfId="9" applyFont="1" applyAlignment="1" applyProtection="1">
      <alignment vertical="center" wrapText="1"/>
    </xf>
    <xf numFmtId="4" fontId="5" fillId="4" borderId="27" xfId="13" applyNumberFormat="1" applyFont="1" applyBorder="1" applyAlignment="1" applyProtection="1">
      <alignment horizontal="right" vertical="center"/>
    </xf>
    <xf numFmtId="4" fontId="5" fillId="11" borderId="27" xfId="13" applyNumberFormat="1" applyFont="1" applyFill="1" applyBorder="1" applyAlignment="1" applyProtection="1">
      <alignment horizontal="right" vertical="center"/>
    </xf>
    <xf numFmtId="4" fontId="5" fillId="4" borderId="29" xfId="13" applyNumberFormat="1" applyFont="1" applyBorder="1" applyAlignment="1" applyProtection="1">
      <alignment horizontal="right" vertical="center"/>
    </xf>
    <xf numFmtId="4" fontId="33" fillId="4" borderId="3" xfId="13" applyNumberFormat="1" applyFont="1" applyBorder="1" applyAlignment="1" applyProtection="1">
      <alignment horizontal="right" vertical="center"/>
    </xf>
    <xf numFmtId="0" fontId="34" fillId="0" borderId="20" xfId="11" applyNumberFormat="1" applyFont="1" applyFill="1" applyBorder="1" applyAlignment="1" applyProtection="1">
      <alignment horizontal="center" vertical="center" wrapText="1"/>
    </xf>
    <xf numFmtId="4" fontId="5" fillId="3" borderId="58" xfId="13" applyNumberFormat="1" applyFont="1" applyFill="1" applyBorder="1" applyAlignment="1" applyProtection="1">
      <alignment horizontal="right" vertical="center"/>
    </xf>
    <xf numFmtId="4" fontId="33" fillId="3" borderId="58" xfId="13" applyNumberFormat="1" applyFont="1" applyFill="1" applyBorder="1" applyAlignment="1" applyProtection="1">
      <alignment horizontal="right" vertical="center"/>
    </xf>
    <xf numFmtId="4" fontId="5" fillId="3" borderId="4" xfId="13" applyNumberFormat="1" applyFont="1" applyFill="1" applyBorder="1" applyAlignment="1" applyProtection="1">
      <alignment horizontal="right" vertical="center"/>
    </xf>
    <xf numFmtId="4" fontId="33" fillId="3" borderId="4" xfId="15" applyNumberFormat="1" applyFont="1" applyFill="1" applyBorder="1" applyAlignment="1" applyProtection="1">
      <alignment horizontal="right" vertical="center"/>
    </xf>
    <xf numFmtId="4" fontId="33" fillId="3" borderId="4" xfId="13" applyNumberFormat="1" applyFont="1" applyFill="1" applyBorder="1" applyAlignment="1" applyProtection="1">
      <alignment horizontal="right" vertical="center"/>
    </xf>
    <xf numFmtId="0" fontId="18" fillId="15" borderId="0" xfId="5" applyFill="1" applyAlignment="1" applyProtection="1">
      <alignment vertical="top"/>
    </xf>
    <xf numFmtId="49" fontId="0" fillId="15" borderId="0" xfId="0" applyNumberFormat="1" applyFont="1" applyFill="1" applyAlignment="1" applyProtection="1">
      <alignment vertical="top"/>
    </xf>
    <xf numFmtId="49" fontId="0" fillId="15" borderId="0" xfId="0" applyNumberFormat="1" applyFont="1" applyFill="1" applyAlignment="1" applyProtection="1">
      <alignment horizontal="right" vertical="top"/>
    </xf>
    <xf numFmtId="49" fontId="36" fillId="15" borderId="0" xfId="5" applyNumberFormat="1" applyFont="1" applyFill="1" applyAlignment="1" applyProtection="1">
      <alignment vertical="top"/>
    </xf>
    <xf numFmtId="0" fontId="38" fillId="15" borderId="0" xfId="17" applyFont="1" applyFill="1" applyAlignment="1" applyProtection="1">
      <alignment horizontal="center" vertical="center" wrapText="1"/>
    </xf>
    <xf numFmtId="49" fontId="25" fillId="15" borderId="0" xfId="0" applyNumberFormat="1" applyFont="1" applyFill="1" applyBorder="1" applyAlignment="1" applyProtection="1">
      <alignment vertical="top"/>
    </xf>
    <xf numFmtId="0" fontId="38" fillId="15" borderId="0" xfId="17" applyFont="1" applyFill="1" applyAlignment="1" applyProtection="1">
      <alignment vertical="center" wrapText="1"/>
    </xf>
    <xf numFmtId="49" fontId="25" fillId="15" borderId="0" xfId="0" applyNumberFormat="1" applyFont="1" applyFill="1" applyBorder="1" applyAlignment="1" applyProtection="1"/>
    <xf numFmtId="49" fontId="41" fillId="15" borderId="0" xfId="0" applyNumberFormat="1" applyFont="1" applyFill="1" applyBorder="1" applyAlignment="1" applyProtection="1"/>
    <xf numFmtId="0" fontId="0" fillId="15" borderId="0" xfId="0" applyFont="1" applyFill="1" applyAlignment="1" applyProtection="1"/>
    <xf numFmtId="49" fontId="39" fillId="15" borderId="0" xfId="0" applyNumberFormat="1" applyFont="1" applyFill="1" applyAlignment="1" applyProtection="1"/>
    <xf numFmtId="0" fontId="42" fillId="15" borderId="0" xfId="11" applyFont="1" applyFill="1" applyBorder="1" applyAlignment="1" applyProtection="1">
      <alignment horizontal="center" wrapText="1"/>
    </xf>
    <xf numFmtId="49" fontId="41" fillId="15" borderId="0" xfId="11" applyNumberFormat="1" applyFont="1" applyFill="1" applyBorder="1" applyAlignment="1" applyProtection="1"/>
    <xf numFmtId="4" fontId="16" fillId="15" borderId="0" xfId="18" applyFont="1" applyFill="1" applyBorder="1" applyProtection="1">
      <alignment horizontal="right"/>
    </xf>
    <xf numFmtId="49" fontId="0" fillId="15" borderId="0" xfId="0" applyNumberFormat="1" applyFont="1" applyFill="1" applyBorder="1" applyAlignment="1" applyProtection="1">
      <alignment vertical="top"/>
    </xf>
    <xf numFmtId="164" fontId="5" fillId="15" borderId="0" xfId="1" applyNumberFormat="1" applyFont="1" applyFill="1" applyBorder="1" applyAlignment="1" applyProtection="1">
      <alignment horizontal="right"/>
    </xf>
    <xf numFmtId="164" fontId="30" fillId="15" borderId="0" xfId="1" applyNumberFormat="1" applyFont="1" applyFill="1" applyBorder="1" applyAlignment="1" applyProtection="1">
      <alignment horizontal="right"/>
    </xf>
    <xf numFmtId="4" fontId="30" fillId="15" borderId="0" xfId="1" applyNumberFormat="1" applyFont="1" applyFill="1" applyBorder="1" applyAlignment="1" applyProtection="1">
      <alignment horizontal="right"/>
    </xf>
    <xf numFmtId="4" fontId="5" fillId="15" borderId="0" xfId="18" applyFont="1" applyFill="1" applyBorder="1" applyProtection="1">
      <alignment horizontal="right"/>
    </xf>
    <xf numFmtId="164" fontId="25" fillId="15" borderId="0" xfId="1" applyNumberFormat="1" applyFont="1" applyFill="1" applyBorder="1" applyAlignment="1" applyProtection="1">
      <alignment horizontal="right"/>
    </xf>
    <xf numFmtId="4" fontId="25" fillId="15" borderId="0" xfId="1" applyNumberFormat="1" applyFont="1" applyFill="1" applyBorder="1" applyAlignment="1" applyProtection="1">
      <alignment horizontal="right"/>
    </xf>
    <xf numFmtId="4" fontId="25" fillId="15" borderId="0" xfId="18" applyFont="1" applyFill="1" applyBorder="1" applyProtection="1">
      <alignment horizontal="right"/>
    </xf>
    <xf numFmtId="4" fontId="25" fillId="15" borderId="0" xfId="16" applyFont="1" applyFill="1" applyBorder="1" applyProtection="1">
      <alignment horizontal="right"/>
    </xf>
    <xf numFmtId="4" fontId="5" fillId="15" borderId="0" xfId="18" applyFont="1" applyFill="1" applyBorder="1" applyAlignment="1" applyProtection="1">
      <alignment horizontal="center"/>
    </xf>
    <xf numFmtId="4" fontId="25" fillId="15" borderId="0" xfId="0" applyNumberFormat="1" applyFont="1" applyFill="1" applyBorder="1" applyAlignment="1" applyProtection="1">
      <alignment vertical="top"/>
    </xf>
    <xf numFmtId="0" fontId="25" fillId="15" borderId="0" xfId="0" applyFont="1" applyFill="1" applyBorder="1" applyAlignment="1" applyProtection="1">
      <alignment horizontal="right"/>
    </xf>
    <xf numFmtId="0" fontId="25" fillId="15" borderId="0" xfId="0" applyFont="1" applyFill="1" applyAlignment="1" applyProtection="1">
      <alignment horizontal="right"/>
    </xf>
    <xf numFmtId="4" fontId="25" fillId="15" borderId="0" xfId="12" applyFont="1" applyFill="1" applyBorder="1" applyProtection="1">
      <alignment horizontal="right"/>
    </xf>
    <xf numFmtId="4" fontId="5" fillId="15" borderId="0" xfId="12" applyFont="1" applyFill="1" applyBorder="1" applyProtection="1">
      <alignment horizontal="right"/>
    </xf>
    <xf numFmtId="49" fontId="5" fillId="15" borderId="0" xfId="18" applyNumberFormat="1" applyFont="1" applyFill="1" applyBorder="1" applyProtection="1">
      <alignment horizontal="right"/>
    </xf>
    <xf numFmtId="4" fontId="0" fillId="15" borderId="0" xfId="0" applyNumberFormat="1" applyFont="1" applyFill="1" applyBorder="1" applyAlignment="1" applyProtection="1">
      <alignment vertical="top"/>
    </xf>
    <xf numFmtId="4" fontId="5" fillId="15" borderId="0" xfId="18" applyNumberFormat="1" applyFont="1" applyFill="1" applyBorder="1" applyProtection="1">
      <alignment horizontal="right"/>
    </xf>
    <xf numFmtId="168" fontId="146" fillId="21" borderId="1" xfId="15" applyNumberFormat="1" applyFont="1" applyFill="1" applyBorder="1" applyAlignment="1">
      <alignment horizontal="center" vertical="center" wrapText="1"/>
    </xf>
    <xf numFmtId="168" fontId="145" fillId="21" borderId="1" xfId="15" applyNumberFormat="1" applyFont="1" applyFill="1" applyBorder="1" applyAlignment="1">
      <alignment horizontal="center" vertical="center"/>
    </xf>
    <xf numFmtId="168" fontId="151" fillId="21" borderId="1" xfId="15" applyNumberFormat="1" applyFont="1" applyFill="1" applyBorder="1" applyAlignment="1">
      <alignment horizontal="center" vertical="center" wrapText="1"/>
    </xf>
    <xf numFmtId="0" fontId="152" fillId="0" borderId="1" xfId="0" applyFont="1" applyBorder="1" applyAlignment="1">
      <alignment vertical="center" wrapText="1"/>
    </xf>
    <xf numFmtId="0" fontId="163" fillId="0" borderId="1" xfId="0" applyFont="1" applyBorder="1" applyAlignment="1">
      <alignment horizontal="center" vertical="center" wrapText="1"/>
    </xf>
    <xf numFmtId="0" fontId="167" fillId="0" borderId="1" xfId="0" applyFont="1" applyBorder="1" applyAlignment="1">
      <alignment horizontal="center" vertical="center" wrapText="1"/>
    </xf>
    <xf numFmtId="0" fontId="163" fillId="0" borderId="1" xfId="0" applyFont="1" applyBorder="1" applyAlignment="1">
      <alignment vertical="center" wrapText="1"/>
    </xf>
    <xf numFmtId="0" fontId="163" fillId="0" borderId="1" xfId="0" applyFont="1" applyBorder="1" applyAlignment="1">
      <alignment horizontal="right" vertical="center" wrapText="1"/>
    </xf>
    <xf numFmtId="0" fontId="163" fillId="0" borderId="1" xfId="0" applyFont="1" applyBorder="1" applyAlignment="1">
      <alignment horizontal="right" vertical="center"/>
    </xf>
    <xf numFmtId="0" fontId="213" fillId="24" borderId="1" xfId="0" applyFont="1" applyFill="1" applyBorder="1" applyAlignment="1">
      <alignment horizontal="center" vertical="center" wrapText="1"/>
    </xf>
    <xf numFmtId="0" fontId="160" fillId="0" borderId="1" xfId="0" applyFont="1" applyBorder="1" applyAlignment="1">
      <alignment horizontal="center" vertical="center"/>
    </xf>
    <xf numFmtId="168" fontId="150" fillId="21" borderId="1" xfId="0" applyNumberFormat="1" applyFont="1" applyFill="1" applyBorder="1" applyAlignment="1">
      <alignment horizontal="center" vertical="center" wrapText="1"/>
    </xf>
    <xf numFmtId="168" fontId="150" fillId="16" borderId="1" xfId="0" applyNumberFormat="1" applyFont="1" applyFill="1" applyBorder="1" applyAlignment="1">
      <alignment horizontal="center" vertical="center" wrapText="1"/>
    </xf>
    <xf numFmtId="168" fontId="145" fillId="21" borderId="1" xfId="0" applyNumberFormat="1" applyFont="1" applyFill="1" applyBorder="1" applyAlignment="1">
      <alignment horizontal="center" vertical="center" wrapText="1"/>
    </xf>
    <xf numFmtId="4" fontId="150" fillId="16" borderId="1" xfId="0" applyNumberFormat="1" applyFont="1" applyFill="1" applyBorder="1" applyAlignment="1">
      <alignment horizontal="center" vertical="center" wrapText="1"/>
    </xf>
    <xf numFmtId="170" fontId="150" fillId="21" borderId="1" xfId="0" applyNumberFormat="1" applyFont="1" applyFill="1" applyBorder="1" applyAlignment="1">
      <alignment horizontal="center" vertical="center" wrapText="1"/>
    </xf>
    <xf numFmtId="4" fontId="150" fillId="21" borderId="1" xfId="0" applyNumberFormat="1" applyFont="1" applyFill="1" applyBorder="1" applyAlignment="1">
      <alignment horizontal="center" vertical="center" wrapText="1"/>
    </xf>
    <xf numFmtId="167" fontId="160" fillId="15" borderId="1" xfId="0" applyNumberFormat="1" applyFont="1" applyFill="1" applyBorder="1" applyAlignment="1">
      <alignment horizontal="center" vertical="center" wrapText="1"/>
    </xf>
    <xf numFmtId="0" fontId="170" fillId="0" borderId="1" xfId="0" applyFont="1" applyBorder="1" applyAlignment="1">
      <alignment horizontal="center" vertical="center" wrapText="1"/>
    </xf>
    <xf numFmtId="167" fontId="150" fillId="21" borderId="1" xfId="0" applyNumberFormat="1" applyFont="1" applyFill="1" applyBorder="1" applyAlignment="1">
      <alignment horizontal="center" vertical="center" wrapText="1"/>
    </xf>
    <xf numFmtId="167" fontId="150" fillId="16" borderId="1" xfId="0" applyNumberFormat="1" applyFont="1" applyFill="1" applyBorder="1" applyAlignment="1">
      <alignment horizontal="center" vertical="center" wrapText="1"/>
    </xf>
    <xf numFmtId="0" fontId="148" fillId="0" borderId="1" xfId="0" applyFont="1" applyBorder="1" applyAlignment="1">
      <alignment horizontal="center" vertical="center"/>
    </xf>
    <xf numFmtId="168" fontId="150" fillId="21" borderId="1" xfId="0" applyNumberFormat="1" applyFont="1" applyFill="1" applyBorder="1" applyAlignment="1">
      <alignment vertical="center" wrapText="1"/>
    </xf>
    <xf numFmtId="167" fontId="196" fillId="15" borderId="104" xfId="0" applyNumberFormat="1" applyFont="1" applyFill="1" applyBorder="1" applyAlignment="1">
      <alignment horizontal="center" vertical="center"/>
    </xf>
    <xf numFmtId="167" fontId="196" fillId="15" borderId="71" xfId="0" applyNumberFormat="1" applyFont="1" applyFill="1" applyBorder="1" applyAlignment="1">
      <alignment horizontal="center" vertical="center"/>
    </xf>
    <xf numFmtId="167" fontId="203" fillId="15" borderId="104" xfId="0" applyNumberFormat="1" applyFont="1" applyFill="1" applyBorder="1" applyAlignment="1">
      <alignment horizontal="center" vertical="center"/>
    </xf>
    <xf numFmtId="167" fontId="203" fillId="15" borderId="47" xfId="0" applyNumberFormat="1" applyFont="1" applyFill="1" applyBorder="1" applyAlignment="1">
      <alignment horizontal="center" vertical="center"/>
    </xf>
    <xf numFmtId="167" fontId="203" fillId="15" borderId="62" xfId="0" applyNumberFormat="1" applyFont="1" applyFill="1" applyBorder="1" applyAlignment="1">
      <alignment horizontal="left" vertical="center" wrapText="1"/>
    </xf>
    <xf numFmtId="167" fontId="203" fillId="15" borderId="64" xfId="0" applyNumberFormat="1" applyFont="1" applyFill="1" applyBorder="1" applyAlignment="1">
      <alignment horizontal="center" vertical="center"/>
    </xf>
    <xf numFmtId="167" fontId="203" fillId="14" borderId="83" xfId="0" applyNumberFormat="1" applyFont="1" applyFill="1" applyBorder="1" applyAlignment="1">
      <alignment horizontal="center" vertical="center"/>
    </xf>
    <xf numFmtId="167" fontId="203" fillId="14" borderId="43" xfId="0" applyNumberFormat="1" applyFont="1" applyFill="1" applyBorder="1" applyAlignment="1">
      <alignment horizontal="center" vertical="center"/>
    </xf>
    <xf numFmtId="167" fontId="203" fillId="14" borderId="62" xfId="0" applyNumberFormat="1" applyFont="1" applyFill="1" applyBorder="1" applyAlignment="1">
      <alignment horizontal="center" vertical="center"/>
    </xf>
    <xf numFmtId="167" fontId="203" fillId="14" borderId="85" xfId="0" applyNumberFormat="1" applyFont="1" applyFill="1" applyBorder="1" applyAlignment="1">
      <alignment horizontal="center" vertical="center"/>
    </xf>
    <xf numFmtId="167" fontId="203" fillId="14" borderId="47" xfId="0" applyNumberFormat="1" applyFont="1" applyFill="1" applyBorder="1" applyAlignment="1">
      <alignment horizontal="center" vertical="center"/>
    </xf>
    <xf numFmtId="167" fontId="203" fillId="15" borderId="71" xfId="0" applyNumberFormat="1" applyFont="1" applyFill="1" applyBorder="1" applyAlignment="1">
      <alignment horizontal="center" vertical="center"/>
    </xf>
    <xf numFmtId="167" fontId="196" fillId="15" borderId="48" xfId="0" applyNumberFormat="1" applyFont="1" applyFill="1" applyBorder="1" applyAlignment="1">
      <alignment horizontal="center" vertical="center"/>
    </xf>
    <xf numFmtId="167" fontId="196" fillId="14" borderId="73" xfId="0" applyNumberFormat="1" applyFont="1" applyFill="1" applyBorder="1" applyAlignment="1">
      <alignment horizontal="center" vertical="center"/>
    </xf>
    <xf numFmtId="167" fontId="196" fillId="14" borderId="1" xfId="0" applyNumberFormat="1" applyFont="1" applyFill="1" applyBorder="1" applyAlignment="1">
      <alignment horizontal="center" vertical="center"/>
    </xf>
    <xf numFmtId="167" fontId="196" fillId="14" borderId="74" xfId="0" applyNumberFormat="1" applyFont="1" applyFill="1" applyBorder="1" applyAlignment="1">
      <alignment horizontal="center" vertical="center"/>
    </xf>
    <xf numFmtId="167" fontId="196" fillId="14" borderId="48" xfId="0" applyNumberFormat="1" applyFont="1" applyFill="1" applyBorder="1" applyAlignment="1">
      <alignment horizontal="center" vertical="center"/>
    </xf>
    <xf numFmtId="167" fontId="196" fillId="15" borderId="74" xfId="0" applyNumberFormat="1" applyFont="1" applyFill="1" applyBorder="1" applyAlignment="1">
      <alignment horizontal="left" vertical="center" wrapText="1" indent="4"/>
    </xf>
    <xf numFmtId="167" fontId="196" fillId="3" borderId="74" xfId="0" applyNumberFormat="1" applyFont="1" applyFill="1" applyBorder="1" applyAlignment="1">
      <alignment horizontal="center" vertical="center"/>
    </xf>
    <xf numFmtId="167" fontId="196" fillId="0" borderId="73" xfId="0" applyNumberFormat="1" applyFont="1" applyFill="1" applyBorder="1" applyAlignment="1">
      <alignment horizontal="center" vertical="center"/>
    </xf>
    <xf numFmtId="167" fontId="196" fillId="0" borderId="1" xfId="0" applyNumberFormat="1" applyFont="1" applyFill="1" applyBorder="1" applyAlignment="1">
      <alignment horizontal="center" vertical="center"/>
    </xf>
    <xf numFmtId="167" fontId="196" fillId="16" borderId="1" xfId="0" applyNumberFormat="1" applyFont="1" applyFill="1" applyBorder="1" applyAlignment="1">
      <alignment horizontal="center" vertical="center"/>
    </xf>
    <xf numFmtId="167" fontId="196" fillId="0" borderId="48" xfId="0" applyNumberFormat="1" applyFont="1" applyFill="1" applyBorder="1" applyAlignment="1">
      <alignment horizontal="center" vertical="center"/>
    </xf>
    <xf numFmtId="167" fontId="203" fillId="3" borderId="1" xfId="0" applyNumberFormat="1" applyFont="1" applyFill="1" applyBorder="1" applyAlignment="1">
      <alignment horizontal="center" vertical="center"/>
    </xf>
    <xf numFmtId="167" fontId="203" fillId="3" borderId="74" xfId="0" applyNumberFormat="1" applyFont="1" applyFill="1" applyBorder="1" applyAlignment="1">
      <alignment horizontal="center" vertical="center"/>
    </xf>
    <xf numFmtId="167" fontId="196" fillId="16" borderId="74" xfId="0" applyNumberFormat="1" applyFont="1" applyFill="1" applyBorder="1" applyAlignment="1">
      <alignment horizontal="center" vertical="center"/>
    </xf>
    <xf numFmtId="167" fontId="203" fillId="15" borderId="72" xfId="0" applyNumberFormat="1" applyFont="1" applyFill="1" applyBorder="1" applyAlignment="1">
      <alignment horizontal="center" vertical="center"/>
    </xf>
    <xf numFmtId="167" fontId="203" fillId="14" borderId="73" xfId="0" applyNumberFormat="1" applyFont="1" applyFill="1" applyBorder="1" applyAlignment="1">
      <alignment horizontal="center" vertical="center"/>
    </xf>
    <xf numFmtId="167" fontId="203" fillId="14" borderId="48" xfId="0" applyNumberFormat="1" applyFont="1" applyFill="1" applyBorder="1" applyAlignment="1">
      <alignment horizontal="center" vertical="center"/>
    </xf>
    <xf numFmtId="167" fontId="203" fillId="14" borderId="1" xfId="0" applyNumberFormat="1" applyFont="1" applyFill="1" applyBorder="1" applyAlignment="1">
      <alignment horizontal="center" vertical="center"/>
    </xf>
    <xf numFmtId="167" fontId="203" fillId="14" borderId="74" xfId="0" applyNumberFormat="1" applyFont="1" applyFill="1" applyBorder="1" applyAlignment="1">
      <alignment horizontal="center" vertical="center"/>
    </xf>
    <xf numFmtId="167" fontId="203" fillId="15" borderId="74" xfId="0" applyNumberFormat="1" applyFont="1" applyFill="1" applyBorder="1" applyAlignment="1">
      <alignment horizontal="left" vertical="center" wrapText="1" indent="2"/>
    </xf>
    <xf numFmtId="167" fontId="196" fillId="15" borderId="74" xfId="0" applyNumberFormat="1" applyFont="1" applyFill="1" applyBorder="1" applyAlignment="1">
      <alignment horizontal="left" vertical="center" wrapText="1"/>
    </xf>
    <xf numFmtId="167" fontId="196" fillId="15" borderId="99" xfId="0" applyNumberFormat="1" applyFont="1" applyFill="1" applyBorder="1" applyAlignment="1">
      <alignment horizontal="left" vertical="center" wrapText="1" indent="2"/>
    </xf>
    <xf numFmtId="167" fontId="196" fillId="14" borderId="108" xfId="0" applyNumberFormat="1" applyFont="1" applyFill="1" applyBorder="1" applyAlignment="1">
      <alignment horizontal="center" vertical="center"/>
    </xf>
    <xf numFmtId="167" fontId="196" fillId="3" borderId="109" xfId="0" applyNumberFormat="1" applyFont="1" applyFill="1" applyBorder="1" applyAlignment="1">
      <alignment horizontal="center" vertical="center"/>
    </xf>
    <xf numFmtId="167" fontId="196" fillId="3" borderId="76" xfId="0" applyNumberFormat="1" applyFont="1" applyFill="1" applyBorder="1" applyAlignment="1">
      <alignment horizontal="center" vertical="center"/>
    </xf>
    <xf numFmtId="167" fontId="196" fillId="14" borderId="83" xfId="0" applyNumberFormat="1" applyFont="1" applyFill="1" applyBorder="1" applyAlignment="1">
      <alignment horizontal="center" vertical="center"/>
    </xf>
    <xf numFmtId="167" fontId="196" fillId="3" borderId="42" xfId="0" applyNumberFormat="1" applyFont="1" applyFill="1" applyBorder="1" applyAlignment="1">
      <alignment horizontal="center" vertical="center"/>
    </xf>
    <xf numFmtId="167" fontId="196" fillId="14" borderId="47" xfId="0" applyNumberFormat="1" applyFont="1" applyFill="1" applyBorder="1" applyAlignment="1">
      <alignment horizontal="center" vertical="center"/>
    </xf>
    <xf numFmtId="167" fontId="196" fillId="3" borderId="81" xfId="0" applyNumberFormat="1" applyFont="1" applyFill="1" applyBorder="1" applyAlignment="1">
      <alignment horizontal="center" vertical="center"/>
    </xf>
    <xf numFmtId="167" fontId="196" fillId="3" borderId="70" xfId="0" applyNumberFormat="1" applyFont="1" applyFill="1" applyBorder="1" applyAlignment="1">
      <alignment horizontal="center" vertical="center"/>
    </xf>
    <xf numFmtId="167" fontId="203" fillId="15" borderId="45" xfId="0" applyNumberFormat="1" applyFont="1" applyFill="1" applyBorder="1" applyAlignment="1">
      <alignment horizontal="center" vertical="center"/>
    </xf>
    <xf numFmtId="167" fontId="203" fillId="15" borderId="81" xfId="0" applyNumberFormat="1" applyFont="1" applyFill="1" applyBorder="1" applyAlignment="1">
      <alignment horizontal="left" vertical="center" wrapText="1"/>
    </xf>
    <xf numFmtId="167" fontId="196" fillId="15" borderId="76" xfId="0" applyNumberFormat="1" applyFont="1" applyFill="1" applyBorder="1" applyAlignment="1">
      <alignment horizontal="left" vertical="center" wrapText="1" indent="2"/>
    </xf>
    <xf numFmtId="167" fontId="200" fillId="24" borderId="80" xfId="0" applyNumberFormat="1" applyFont="1" applyFill="1" applyBorder="1" applyAlignment="1">
      <alignment horizontal="center" vertical="center" wrapText="1"/>
    </xf>
    <xf numFmtId="167" fontId="200" fillId="24" borderId="39" xfId="0" applyNumberFormat="1" applyFont="1" applyFill="1" applyBorder="1" applyAlignment="1">
      <alignment horizontal="center" vertical="center" wrapText="1"/>
    </xf>
    <xf numFmtId="167" fontId="200" fillId="24" borderId="81" xfId="0" applyNumberFormat="1" applyFont="1" applyFill="1" applyBorder="1" applyAlignment="1">
      <alignment horizontal="center" vertical="center" wrapText="1"/>
    </xf>
    <xf numFmtId="167" fontId="200" fillId="24" borderId="93" xfId="0" applyNumberFormat="1" applyFont="1" applyFill="1" applyBorder="1" applyAlignment="1">
      <alignment horizontal="center" vertical="center" wrapText="1"/>
    </xf>
    <xf numFmtId="167" fontId="200" fillId="24" borderId="45" xfId="0" applyNumberFormat="1" applyFont="1" applyFill="1" applyBorder="1" applyAlignment="1">
      <alignment horizontal="center" vertical="center" wrapText="1"/>
    </xf>
    <xf numFmtId="167" fontId="203" fillId="15" borderId="38" xfId="0" applyNumberFormat="1" applyFont="1" applyFill="1" applyBorder="1" applyAlignment="1">
      <alignment horizontal="center" vertical="center"/>
    </xf>
    <xf numFmtId="3" fontId="203" fillId="16" borderId="38" xfId="0" applyNumberFormat="1" applyFont="1" applyFill="1" applyBorder="1" applyAlignment="1">
      <alignment horizontal="center" vertical="center"/>
    </xf>
    <xf numFmtId="3" fontId="203" fillId="16" borderId="66" xfId="0" applyNumberFormat="1" applyFont="1" applyFill="1" applyBorder="1" applyAlignment="1">
      <alignment horizontal="center" vertical="center"/>
    </xf>
    <xf numFmtId="3" fontId="203" fillId="16" borderId="102" xfId="0" applyNumberFormat="1" applyFont="1" applyFill="1" applyBorder="1" applyAlignment="1">
      <alignment horizontal="center" vertical="center"/>
    </xf>
    <xf numFmtId="3" fontId="203" fillId="16" borderId="62" xfId="0" applyNumberFormat="1" applyFont="1" applyFill="1" applyBorder="1" applyAlignment="1">
      <alignment horizontal="center" vertical="center"/>
    </xf>
    <xf numFmtId="3" fontId="203" fillId="16" borderId="73" xfId="0" applyNumberFormat="1" applyFont="1" applyFill="1" applyBorder="1" applyAlignment="1">
      <alignment horizontal="center" vertical="center"/>
    </xf>
    <xf numFmtId="3" fontId="203" fillId="16" borderId="1" xfId="0" applyNumberFormat="1" applyFont="1" applyFill="1" applyBorder="1" applyAlignment="1">
      <alignment horizontal="center" vertical="center"/>
    </xf>
    <xf numFmtId="3" fontId="203" fillId="16" borderId="48" xfId="0" applyNumberFormat="1" applyFont="1" applyFill="1" applyBorder="1" applyAlignment="1">
      <alignment horizontal="center" vertical="center"/>
    </xf>
    <xf numFmtId="3" fontId="203" fillId="16" borderId="41" xfId="0" applyNumberFormat="1" applyFont="1" applyFill="1" applyBorder="1" applyAlignment="1">
      <alignment horizontal="center" vertical="center"/>
    </xf>
    <xf numFmtId="3" fontId="203" fillId="16" borderId="74" xfId="0" applyNumberFormat="1" applyFont="1" applyFill="1" applyBorder="1" applyAlignment="1">
      <alignment horizontal="center" vertical="center"/>
    </xf>
    <xf numFmtId="167" fontId="196" fillId="15" borderId="108" xfId="0" applyNumberFormat="1" applyFont="1" applyFill="1" applyBorder="1" applyAlignment="1">
      <alignment horizontal="center" vertical="center"/>
    </xf>
    <xf numFmtId="167" fontId="196" fillId="15" borderId="107" xfId="0" applyNumberFormat="1" applyFont="1" applyFill="1" applyBorder="1" applyAlignment="1">
      <alignment horizontal="left" vertical="center" wrapText="1" indent="2"/>
    </xf>
    <xf numFmtId="167" fontId="196" fillId="15" borderId="77" xfId="0" applyNumberFormat="1" applyFont="1" applyFill="1" applyBorder="1" applyAlignment="1">
      <alignment horizontal="center" vertical="center"/>
    </xf>
    <xf numFmtId="3" fontId="196" fillId="16" borderId="108" xfId="0" applyNumberFormat="1" applyFont="1" applyFill="1" applyBorder="1" applyAlignment="1">
      <alignment horizontal="center" vertical="center"/>
    </xf>
    <xf numFmtId="3" fontId="196" fillId="16" borderId="109" xfId="0" applyNumberFormat="1" applyFont="1" applyFill="1" applyBorder="1" applyAlignment="1">
      <alignment horizontal="center" vertical="center"/>
    </xf>
    <xf numFmtId="3" fontId="196" fillId="16" borderId="110" xfId="0" applyNumberFormat="1" applyFont="1" applyFill="1" applyBorder="1" applyAlignment="1">
      <alignment horizontal="center" vertical="center"/>
    </xf>
    <xf numFmtId="3" fontId="196" fillId="16" borderId="78" xfId="0" applyNumberFormat="1" applyFont="1" applyFill="1" applyBorder="1" applyAlignment="1">
      <alignment horizontal="center" vertical="center"/>
    </xf>
    <xf numFmtId="3" fontId="196" fillId="16" borderId="107" xfId="0" applyNumberFormat="1" applyFont="1" applyFill="1" applyBorder="1" applyAlignment="1">
      <alignment horizontal="center" vertical="center"/>
    </xf>
    <xf numFmtId="167" fontId="201" fillId="26" borderId="89" xfId="0" applyNumberFormat="1" applyFont="1" applyFill="1" applyBorder="1" applyAlignment="1">
      <alignment horizontal="center" vertical="center"/>
    </xf>
    <xf numFmtId="167" fontId="201" fillId="26" borderId="92" xfId="0" applyNumberFormat="1" applyFont="1" applyFill="1" applyBorder="1" applyAlignment="1">
      <alignment horizontal="center" vertical="center"/>
    </xf>
    <xf numFmtId="167" fontId="201" fillId="26" borderId="90" xfId="0" applyNumberFormat="1" applyFont="1" applyFill="1" applyBorder="1" applyAlignment="1">
      <alignment horizontal="center" vertical="center"/>
    </xf>
    <xf numFmtId="167" fontId="201" fillId="26" borderId="111" xfId="0" applyNumberFormat="1" applyFont="1" applyFill="1" applyBorder="1" applyAlignment="1">
      <alignment horizontal="center" vertical="center"/>
    </xf>
    <xf numFmtId="167" fontId="215" fillId="15" borderId="0" xfId="0" applyNumberFormat="1" applyFont="1" applyFill="1" applyAlignment="1">
      <alignment horizontal="left" vertical="center"/>
    </xf>
    <xf numFmtId="167" fontId="196" fillId="15" borderId="101" xfId="0" applyNumberFormat="1" applyFont="1" applyFill="1" applyBorder="1" applyAlignment="1">
      <alignment horizontal="center" vertical="center"/>
    </xf>
    <xf numFmtId="167" fontId="203" fillId="15" borderId="102" xfId="0" applyNumberFormat="1" applyFont="1" applyFill="1" applyBorder="1" applyAlignment="1">
      <alignment horizontal="center" vertical="center"/>
    </xf>
    <xf numFmtId="167" fontId="196" fillId="15" borderId="110" xfId="0" applyNumberFormat="1" applyFont="1" applyFill="1" applyBorder="1" applyAlignment="1">
      <alignment horizontal="center" vertical="center"/>
    </xf>
    <xf numFmtId="10" fontId="194" fillId="3" borderId="62" xfId="1" applyNumberFormat="1" applyFont="1" applyFill="1" applyBorder="1" applyAlignment="1">
      <alignment horizontal="center" vertical="center"/>
    </xf>
    <xf numFmtId="167" fontId="211" fillId="3" borderId="73" xfId="0" applyNumberFormat="1" applyFont="1" applyFill="1" applyBorder="1" applyAlignment="1">
      <alignment horizontal="center" vertical="center" wrapText="1"/>
    </xf>
    <xf numFmtId="1" fontId="193" fillId="15" borderId="0" xfId="15" applyNumberFormat="1" applyFont="1" applyFill="1" applyBorder="1" applyAlignment="1">
      <alignment horizontal="center" vertical="center" wrapText="1"/>
    </xf>
    <xf numFmtId="167" fontId="152" fillId="15" borderId="0" xfId="15" applyNumberFormat="1" applyFont="1" applyFill="1" applyBorder="1" applyAlignment="1">
      <alignment horizontal="center" vertical="center" wrapText="1"/>
    </xf>
    <xf numFmtId="167" fontId="134" fillId="15" borderId="58" xfId="15" applyNumberFormat="1" applyFont="1" applyFill="1" applyBorder="1" applyAlignment="1">
      <alignment horizontal="left" vertical="center" wrapText="1"/>
    </xf>
    <xf numFmtId="167" fontId="203" fillId="14" borderId="41" xfId="0" applyNumberFormat="1" applyFont="1" applyFill="1" applyBorder="1" applyAlignment="1">
      <alignment horizontal="center" vertical="center"/>
    </xf>
    <xf numFmtId="167" fontId="196" fillId="15" borderId="45" xfId="0" applyNumberFormat="1" applyFont="1" applyFill="1" applyBorder="1" applyAlignment="1">
      <alignment horizontal="center" vertical="center"/>
    </xf>
    <xf numFmtId="167" fontId="196" fillId="15" borderId="87" xfId="0" applyNumberFormat="1" applyFont="1" applyFill="1" applyBorder="1" applyAlignment="1">
      <alignment horizontal="center" vertical="center"/>
    </xf>
    <xf numFmtId="3" fontId="203" fillId="16" borderId="68" xfId="0" applyNumberFormat="1" applyFont="1" applyFill="1" applyBorder="1" applyAlignment="1">
      <alignment horizontal="center" vertical="center"/>
    </xf>
    <xf numFmtId="3" fontId="203" fillId="16" borderId="84" xfId="0" applyNumberFormat="1" applyFont="1" applyFill="1" applyBorder="1" applyAlignment="1">
      <alignment horizontal="center" vertical="center"/>
    </xf>
    <xf numFmtId="3" fontId="196" fillId="16" borderId="73" xfId="0" applyNumberFormat="1" applyFont="1" applyFill="1" applyBorder="1" applyAlignment="1">
      <alignment horizontal="center" vertical="center"/>
    </xf>
    <xf numFmtId="3" fontId="196" fillId="16" borderId="48" xfId="0" applyNumberFormat="1" applyFont="1" applyFill="1" applyBorder="1" applyAlignment="1">
      <alignment horizontal="center" vertical="center"/>
    </xf>
    <xf numFmtId="3" fontId="196" fillId="16" borderId="84" xfId="0" applyNumberFormat="1" applyFont="1" applyFill="1" applyBorder="1" applyAlignment="1">
      <alignment horizontal="center" vertical="center"/>
    </xf>
    <xf numFmtId="3" fontId="196" fillId="16" borderId="75" xfId="0" applyNumberFormat="1" applyFont="1" applyFill="1" applyBorder="1" applyAlignment="1">
      <alignment horizontal="center" vertical="center"/>
    </xf>
    <xf numFmtId="3" fontId="196" fillId="16" borderId="101" xfId="0" applyNumberFormat="1" applyFont="1" applyFill="1" applyBorder="1" applyAlignment="1">
      <alignment horizontal="center" vertical="center"/>
    </xf>
    <xf numFmtId="3" fontId="196" fillId="16" borderId="112" xfId="0" applyNumberFormat="1" applyFont="1" applyFill="1" applyBorder="1" applyAlignment="1">
      <alignment horizontal="center" vertical="center"/>
    </xf>
    <xf numFmtId="167" fontId="203" fillId="15" borderId="83" xfId="0" applyNumberFormat="1" applyFont="1" applyFill="1" applyBorder="1" applyAlignment="1">
      <alignment horizontal="center" vertical="center"/>
    </xf>
    <xf numFmtId="167" fontId="203" fillId="14" borderId="84" xfId="0" applyNumberFormat="1" applyFont="1" applyFill="1" applyBorder="1" applyAlignment="1">
      <alignment horizontal="center" vertical="center"/>
    </xf>
    <xf numFmtId="167" fontId="196" fillId="26" borderId="89" xfId="0" applyNumberFormat="1" applyFont="1" applyFill="1" applyBorder="1" applyAlignment="1">
      <alignment horizontal="center" vertical="center"/>
    </xf>
    <xf numFmtId="167" fontId="196" fillId="26" borderId="92" xfId="0" applyNumberFormat="1" applyFont="1" applyFill="1" applyBorder="1" applyAlignment="1">
      <alignment horizontal="center" vertical="center"/>
    </xf>
    <xf numFmtId="167" fontId="196" fillId="26" borderId="90" xfId="0" applyNumberFormat="1" applyFont="1" applyFill="1" applyBorder="1" applyAlignment="1">
      <alignment horizontal="center" vertical="center"/>
    </xf>
    <xf numFmtId="167" fontId="196" fillId="14" borderId="76" xfId="0" applyNumberFormat="1" applyFont="1" applyFill="1" applyBorder="1" applyAlignment="1">
      <alignment horizontal="center" vertical="center"/>
    </xf>
    <xf numFmtId="167" fontId="196" fillId="26" borderId="111" xfId="0" applyNumberFormat="1" applyFont="1" applyFill="1" applyBorder="1" applyAlignment="1">
      <alignment horizontal="center" vertical="center"/>
    </xf>
    <xf numFmtId="167" fontId="144" fillId="15" borderId="0" xfId="15" applyNumberFormat="1" applyFont="1" applyFill="1" applyBorder="1" applyAlignment="1">
      <alignment vertical="center" wrapText="1"/>
    </xf>
    <xf numFmtId="0" fontId="158" fillId="0" borderId="1" xfId="0" applyFont="1" applyBorder="1" applyAlignment="1">
      <alignment horizontal="center" vertical="center" wrapText="1"/>
    </xf>
    <xf numFmtId="0" fontId="149" fillId="0" borderId="1" xfId="0" applyFont="1" applyBorder="1" applyAlignment="1">
      <alignment horizontal="center" vertical="center" wrapText="1"/>
    </xf>
    <xf numFmtId="0" fontId="145" fillId="0" borderId="1" xfId="0" applyFont="1" applyBorder="1" applyAlignment="1">
      <alignment vertical="center" wrapText="1"/>
    </xf>
    <xf numFmtId="0" fontId="150" fillId="0" borderId="1" xfId="0" applyFont="1" applyBorder="1" applyAlignment="1">
      <alignment horizontal="left" vertical="center" wrapText="1" indent="1"/>
    </xf>
    <xf numFmtId="0" fontId="150" fillId="21" borderId="1" xfId="0" applyFont="1" applyFill="1" applyBorder="1" applyAlignment="1">
      <alignment horizontal="center" vertical="center"/>
    </xf>
    <xf numFmtId="0" fontId="151" fillId="21" borderId="1" xfId="0" applyFont="1" applyFill="1" applyBorder="1" applyAlignment="1">
      <alignment vertical="center"/>
    </xf>
    <xf numFmtId="0" fontId="145" fillId="21" borderId="1" xfId="0" applyFont="1" applyFill="1" applyBorder="1" applyAlignment="1">
      <alignment horizontal="center" vertical="center" wrapText="1"/>
    </xf>
    <xf numFmtId="0" fontId="150" fillId="21" borderId="1" xfId="0" applyFont="1" applyFill="1" applyBorder="1" applyAlignment="1">
      <alignment horizontal="center" vertical="center" wrapText="1"/>
    </xf>
    <xf numFmtId="0" fontId="146" fillId="0" borderId="1" xfId="0" applyFont="1" applyBorder="1" applyAlignment="1">
      <alignment horizontal="center" vertical="center" wrapText="1"/>
    </xf>
    <xf numFmtId="167" fontId="203" fillId="15" borderId="1" xfId="0" applyNumberFormat="1" applyFont="1" applyFill="1" applyBorder="1" applyAlignment="1">
      <alignment horizontal="left" vertical="center" wrapText="1" indent="2"/>
    </xf>
    <xf numFmtId="167" fontId="203" fillId="15" borderId="1" xfId="0" applyNumberFormat="1" applyFont="1" applyFill="1" applyBorder="1" applyAlignment="1">
      <alignment horizontal="center" vertical="center" wrapText="1"/>
    </xf>
    <xf numFmtId="168" fontId="203" fillId="15" borderId="1" xfId="0" applyNumberFormat="1" applyFont="1" applyFill="1" applyBorder="1" applyAlignment="1">
      <alignment horizontal="center" vertical="center" wrapText="1"/>
    </xf>
    <xf numFmtId="167" fontId="201" fillId="15" borderId="1" xfId="0" applyNumberFormat="1" applyFont="1" applyFill="1" applyBorder="1" applyAlignment="1">
      <alignment horizontal="left" vertical="center" wrapText="1" indent="2"/>
    </xf>
    <xf numFmtId="167" fontId="201" fillId="15" borderId="1" xfId="0" applyNumberFormat="1" applyFont="1" applyFill="1" applyBorder="1" applyAlignment="1">
      <alignment horizontal="center" vertical="center" wrapText="1"/>
    </xf>
    <xf numFmtId="167" fontId="201" fillId="15" borderId="1" xfId="0" applyNumberFormat="1" applyFont="1" applyFill="1" applyBorder="1" applyAlignment="1">
      <alignment horizontal="left" vertical="center" wrapText="1" indent="4"/>
    </xf>
    <xf numFmtId="167" fontId="201" fillId="15" borderId="1" xfId="0" applyNumberFormat="1" applyFont="1" applyFill="1" applyBorder="1" applyAlignment="1">
      <alignment horizontal="left" vertical="center" wrapText="1"/>
    </xf>
    <xf numFmtId="0" fontId="144" fillId="0" borderId="1" xfId="0" applyFont="1" applyBorder="1" applyAlignment="1">
      <alignment horizontal="center" vertical="center" wrapText="1"/>
    </xf>
    <xf numFmtId="0" fontId="144" fillId="0" borderId="1" xfId="0" applyFont="1" applyBorder="1" applyAlignment="1">
      <alignment horizontal="center" vertical="center"/>
    </xf>
    <xf numFmtId="167" fontId="201" fillId="21" borderId="1" xfId="0" applyNumberFormat="1" applyFont="1" applyFill="1" applyBorder="1" applyAlignment="1">
      <alignment horizontal="center" vertical="center"/>
    </xf>
    <xf numFmtId="168" fontId="196" fillId="21" borderId="1" xfId="0" applyNumberFormat="1" applyFont="1" applyFill="1" applyBorder="1" applyAlignment="1">
      <alignment horizontal="center" vertical="center"/>
    </xf>
    <xf numFmtId="4" fontId="203" fillId="21" borderId="1" xfId="0" applyNumberFormat="1" applyFont="1" applyFill="1" applyBorder="1" applyAlignment="1">
      <alignment horizontal="center" vertical="center"/>
    </xf>
    <xf numFmtId="167" fontId="218" fillId="21" borderId="58" xfId="15" applyNumberFormat="1" applyFont="1" applyFill="1" applyBorder="1" applyAlignment="1">
      <alignment horizontal="left" vertical="center" wrapText="1"/>
    </xf>
    <xf numFmtId="4" fontId="203" fillId="16" borderId="1" xfId="0" applyNumberFormat="1" applyFont="1" applyFill="1" applyBorder="1" applyAlignment="1">
      <alignment horizontal="center" vertical="center"/>
    </xf>
    <xf numFmtId="4" fontId="203" fillId="16" borderId="1" xfId="0" applyNumberFormat="1" applyFont="1" applyFill="1" applyBorder="1" applyAlignment="1">
      <alignment horizontal="left" vertical="center" wrapText="1"/>
    </xf>
    <xf numFmtId="4" fontId="203" fillId="16" borderId="1" xfId="0" applyNumberFormat="1" applyFont="1" applyFill="1" applyBorder="1" applyAlignment="1">
      <alignment horizontal="center" vertical="center" wrapText="1"/>
    </xf>
    <xf numFmtId="167" fontId="134" fillId="15" borderId="0" xfId="15" applyNumberFormat="1" applyFont="1" applyFill="1" applyAlignment="1">
      <alignment vertical="center" wrapText="1"/>
    </xf>
    <xf numFmtId="0" fontId="219" fillId="0" borderId="1" xfId="0" applyFont="1" applyBorder="1" applyAlignment="1">
      <alignment horizontal="center" vertical="center" wrapText="1"/>
    </xf>
    <xf numFmtId="0" fontId="163" fillId="0" borderId="1" xfId="0" applyFont="1" applyBorder="1" applyAlignment="1">
      <alignment horizontal="left" vertical="center" wrapText="1"/>
    </xf>
    <xf numFmtId="0" fontId="163" fillId="0" borderId="1" xfId="0" applyFont="1" applyBorder="1" applyAlignment="1">
      <alignment horizontal="left" vertical="center" wrapText="1" indent="2"/>
    </xf>
    <xf numFmtId="0" fontId="134" fillId="0" borderId="1" xfId="0" applyFont="1" applyBorder="1" applyAlignment="1">
      <alignment horizontal="center" vertical="center"/>
    </xf>
    <xf numFmtId="0" fontId="141" fillId="0" borderId="1" xfId="0" applyFont="1" applyBorder="1" applyAlignment="1">
      <alignment horizontal="center" vertical="center" wrapText="1"/>
    </xf>
    <xf numFmtId="0" fontId="134" fillId="0" borderId="1" xfId="0" applyFont="1" applyBorder="1" applyAlignment="1">
      <alignment vertical="center" wrapText="1"/>
    </xf>
    <xf numFmtId="0" fontId="144" fillId="0" borderId="1" xfId="0" applyFont="1" applyBorder="1" applyAlignment="1">
      <alignment vertical="center" wrapText="1"/>
    </xf>
    <xf numFmtId="0" fontId="134" fillId="21" borderId="1" xfId="0" applyFont="1" applyFill="1" applyBorder="1" applyAlignment="1">
      <alignment vertical="center"/>
    </xf>
    <xf numFmtId="0" fontId="144" fillId="21" borderId="1" xfId="0" applyFont="1" applyFill="1" applyBorder="1" applyAlignment="1">
      <alignment vertical="center"/>
    </xf>
    <xf numFmtId="0" fontId="151" fillId="0" borderId="1" xfId="0" applyFont="1" applyBorder="1" applyAlignment="1">
      <alignment vertical="center" wrapText="1"/>
    </xf>
    <xf numFmtId="0" fontId="146" fillId="0" borderId="1" xfId="0" applyFont="1" applyBorder="1" applyAlignment="1">
      <alignment horizontal="center" vertical="center"/>
    </xf>
    <xf numFmtId="0" fontId="146" fillId="0" borderId="1" xfId="0" applyFont="1" applyBorder="1" applyAlignment="1">
      <alignment vertical="center" wrapText="1"/>
    </xf>
    <xf numFmtId="0" fontId="134" fillId="21" borderId="1" xfId="0" applyFont="1" applyFill="1" applyBorder="1" applyAlignment="1">
      <alignment horizontal="center" vertical="center"/>
    </xf>
    <xf numFmtId="0" fontId="147" fillId="0" borderId="1" xfId="0" applyFont="1" applyBorder="1" applyAlignment="1">
      <alignment horizontal="center" vertical="center"/>
    </xf>
    <xf numFmtId="0" fontId="146" fillId="0" borderId="1" xfId="0" applyFont="1" applyBorder="1" applyAlignment="1">
      <alignment vertical="center"/>
    </xf>
    <xf numFmtId="0" fontId="151" fillId="0" borderId="1" xfId="0" applyFont="1" applyBorder="1" applyAlignment="1">
      <alignment horizontal="left" vertical="center" wrapText="1" indent="1"/>
    </xf>
    <xf numFmtId="0" fontId="217" fillId="21" borderId="1" xfId="0" applyFont="1" applyFill="1" applyBorder="1" applyAlignment="1">
      <alignment horizontal="center" vertical="center" wrapText="1"/>
    </xf>
    <xf numFmtId="0" fontId="216" fillId="21" borderId="1" xfId="0" applyFont="1" applyFill="1" applyBorder="1" applyAlignment="1">
      <alignment horizontal="center" vertical="center" wrapText="1"/>
    </xf>
    <xf numFmtId="0" fontId="217" fillId="21" borderId="1" xfId="0" applyFont="1" applyFill="1" applyBorder="1" applyAlignment="1">
      <alignment horizontal="center" vertical="center"/>
    </xf>
    <xf numFmtId="4" fontId="33" fillId="3" borderId="51" xfId="15" applyNumberFormat="1" applyFont="1" applyFill="1" applyBorder="1" applyAlignment="1" applyProtection="1">
      <alignment horizontal="right" vertical="center"/>
    </xf>
    <xf numFmtId="4" fontId="33" fillId="3" borderId="52" xfId="15" applyNumberFormat="1" applyFont="1" applyFill="1" applyBorder="1" applyAlignment="1" applyProtection="1">
      <alignment horizontal="right" vertical="center"/>
    </xf>
    <xf numFmtId="4" fontId="33" fillId="3" borderId="53" xfId="15" applyNumberFormat="1" applyFont="1" applyFill="1" applyBorder="1" applyAlignment="1" applyProtection="1">
      <alignment horizontal="right" vertical="center"/>
    </xf>
    <xf numFmtId="4" fontId="23" fillId="3" borderId="1" xfId="19" applyNumberFormat="1" applyFont="1" applyFill="1" applyBorder="1" applyAlignment="1" applyProtection="1">
      <alignment horizontal="right"/>
    </xf>
    <xf numFmtId="165" fontId="46" fillId="3" borderId="1" xfId="20" applyNumberFormat="1" applyFont="1" applyFill="1" applyBorder="1" applyAlignment="1" applyProtection="1">
      <alignment horizontal="center" vertical="center"/>
    </xf>
    <xf numFmtId="4" fontId="39" fillId="3" borderId="1" xfId="19" applyNumberFormat="1" applyFont="1" applyFill="1" applyBorder="1" applyAlignment="1" applyProtection="1">
      <alignment horizontal="center" vertical="center" wrapText="1"/>
    </xf>
    <xf numFmtId="2" fontId="25" fillId="3" borderId="1" xfId="0" applyNumberFormat="1" applyFont="1" applyFill="1" applyBorder="1" applyAlignment="1" applyProtection="1">
      <alignment horizontal="center" vertical="center"/>
    </xf>
    <xf numFmtId="10" fontId="25" fillId="3" borderId="1" xfId="0" applyNumberFormat="1" applyFont="1" applyFill="1" applyBorder="1" applyAlignment="1" applyProtection="1">
      <alignment horizontal="center" vertical="center"/>
    </xf>
    <xf numFmtId="0" fontId="0" fillId="3" borderId="0" xfId="0" applyFill="1" applyProtection="1"/>
    <xf numFmtId="49" fontId="16" fillId="23" borderId="1" xfId="0" applyNumberFormat="1" applyFont="1" applyFill="1" applyBorder="1" applyAlignment="1" applyProtection="1">
      <alignment horizontal="center" vertical="center" wrapText="1"/>
    </xf>
    <xf numFmtId="0" fontId="16" fillId="23" borderId="1" xfId="0" applyFont="1" applyFill="1" applyBorder="1" applyAlignment="1" applyProtection="1">
      <alignment horizontal="center" vertical="center" wrapText="1"/>
    </xf>
    <xf numFmtId="0" fontId="16" fillId="23" borderId="1" xfId="0" applyFont="1" applyFill="1" applyBorder="1" applyAlignment="1" applyProtection="1">
      <alignment horizontal="left" vertical="center" wrapText="1" indent="6"/>
    </xf>
    <xf numFmtId="4" fontId="16" fillId="16" borderId="1" xfId="18" applyNumberFormat="1" applyFont="1" applyFill="1" applyBorder="1" applyAlignment="1" applyProtection="1">
      <alignment horizontal="center" vertical="center"/>
      <protection locked="0"/>
    </xf>
    <xf numFmtId="4" fontId="16" fillId="16" borderId="1" xfId="12" applyNumberFormat="1" applyFont="1" applyFill="1" applyBorder="1" applyAlignment="1" applyProtection="1">
      <alignment horizontal="center" vertical="center"/>
    </xf>
    <xf numFmtId="4" fontId="120" fillId="21" borderId="1" xfId="0" applyNumberFormat="1" applyFont="1" applyFill="1" applyBorder="1" applyProtection="1"/>
    <xf numFmtId="0" fontId="42" fillId="23" borderId="1" xfId="11" applyFont="1" applyFill="1" applyBorder="1" applyProtection="1">
      <alignment horizontal="center" vertical="center" wrapText="1"/>
    </xf>
    <xf numFmtId="0" fontId="25" fillId="0" borderId="0" xfId="0" applyFont="1"/>
    <xf numFmtId="0" fontId="109" fillId="0" borderId="0" xfId="5" quotePrefix="1" applyFont="1" applyAlignment="1" applyProtection="1"/>
    <xf numFmtId="0" fontId="25" fillId="0" borderId="0" xfId="0" applyFont="1" applyAlignment="1">
      <alignment horizontal="center" vertical="center"/>
    </xf>
    <xf numFmtId="0" fontId="25" fillId="0" borderId="0" xfId="0" applyFont="1" applyAlignment="1">
      <alignment vertical="center"/>
    </xf>
    <xf numFmtId="0" fontId="109" fillId="0" borderId="1" xfId="5" applyFont="1" applyBorder="1" applyAlignment="1" applyProtection="1">
      <alignment vertical="center" wrapText="1"/>
    </xf>
    <xf numFmtId="0" fontId="25" fillId="0" borderId="1" xfId="0" applyFont="1" applyBorder="1" applyAlignment="1">
      <alignment vertical="center" wrapText="1"/>
    </xf>
    <xf numFmtId="0" fontId="109" fillId="0" borderId="1" xfId="7" applyFont="1" applyBorder="1" applyAlignment="1" applyProtection="1">
      <alignment vertical="center" wrapText="1"/>
    </xf>
    <xf numFmtId="0" fontId="25" fillId="0" borderId="1" xfId="0" applyFont="1" applyFill="1" applyBorder="1" applyAlignment="1">
      <alignment vertical="center" wrapText="1"/>
    </xf>
    <xf numFmtId="0" fontId="109" fillId="15" borderId="1" xfId="5" applyFont="1" applyFill="1" applyBorder="1" applyAlignment="1" applyProtection="1">
      <alignment vertical="center" wrapText="1"/>
    </xf>
    <xf numFmtId="0" fontId="25" fillId="15" borderId="1" xfId="0" applyFont="1" applyFill="1" applyBorder="1" applyAlignment="1">
      <alignment vertical="center" wrapText="1"/>
    </xf>
    <xf numFmtId="0" fontId="25" fillId="15" borderId="0" xfId="0" applyFont="1" applyFill="1"/>
    <xf numFmtId="0" fontId="109" fillId="15" borderId="1" xfId="7" applyFont="1" applyFill="1" applyBorder="1" applyAlignment="1" applyProtection="1">
      <alignment vertical="center" wrapText="1"/>
    </xf>
    <xf numFmtId="0" fontId="109" fillId="15" borderId="0" xfId="5" quotePrefix="1" applyFont="1" applyFill="1" applyAlignment="1" applyProtection="1"/>
    <xf numFmtId="167" fontId="194" fillId="15" borderId="1" xfId="0" applyNumberFormat="1" applyFont="1" applyFill="1" applyBorder="1" applyAlignment="1">
      <alignment horizontal="right" wrapText="1"/>
    </xf>
    <xf numFmtId="3" fontId="194" fillId="3" borderId="1" xfId="0" applyNumberFormat="1" applyFont="1" applyFill="1" applyBorder="1" applyAlignment="1">
      <alignment horizontal="left" wrapText="1"/>
    </xf>
    <xf numFmtId="0" fontId="5" fillId="0" borderId="15" xfId="11" applyFont="1" applyFill="1" applyBorder="1" applyAlignment="1" applyProtection="1">
      <alignment horizontal="center" vertical="center" wrapText="1"/>
    </xf>
    <xf numFmtId="0" fontId="5" fillId="0" borderId="16" xfId="11"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4" fontId="0" fillId="4" borderId="1" xfId="0" applyNumberFormat="1" applyFont="1" applyFill="1" applyBorder="1" applyAlignment="1" applyProtection="1">
      <alignment horizontal="right" vertical="center"/>
    </xf>
    <xf numFmtId="4" fontId="0" fillId="10" borderId="1" xfId="0" applyNumberFormat="1" applyFont="1" applyFill="1" applyBorder="1" applyAlignment="1" applyProtection="1">
      <alignment horizontal="right" vertical="center"/>
      <protection locked="0"/>
    </xf>
    <xf numFmtId="0" fontId="0" fillId="0" borderId="1" xfId="0" applyNumberFormat="1" applyFont="1" applyBorder="1" applyAlignment="1" applyProtection="1">
      <alignment vertical="center"/>
    </xf>
    <xf numFmtId="4" fontId="0" fillId="0" borderId="1" xfId="0" applyNumberFormat="1" applyFont="1" applyFill="1" applyBorder="1" applyAlignment="1" applyProtection="1">
      <alignment horizontal="right" vertical="center"/>
    </xf>
    <xf numFmtId="49" fontId="33" fillId="15" borderId="113" xfId="0" applyNumberFormat="1" applyFont="1" applyFill="1" applyBorder="1" applyAlignment="1" applyProtection="1">
      <alignment horizontal="left" vertical="center"/>
    </xf>
    <xf numFmtId="0" fontId="0" fillId="15" borderId="114" xfId="0" applyNumberFormat="1" applyFont="1" applyFill="1" applyBorder="1" applyAlignment="1" applyProtection="1">
      <alignment vertical="center" wrapText="1"/>
    </xf>
    <xf numFmtId="0" fontId="0" fillId="15" borderId="114" xfId="0" applyNumberFormat="1" applyFont="1" applyFill="1" applyBorder="1" applyAlignment="1" applyProtection="1">
      <alignment vertical="center"/>
    </xf>
    <xf numFmtId="0" fontId="0" fillId="15" borderId="115" xfId="0" applyNumberFormat="1" applyFont="1" applyFill="1" applyBorder="1" applyAlignment="1" applyProtection="1">
      <alignment vertical="center"/>
    </xf>
    <xf numFmtId="0" fontId="0" fillId="0" borderId="74" xfId="0" applyNumberFormat="1" applyFont="1" applyBorder="1" applyAlignment="1" applyProtection="1">
      <alignment vertical="center"/>
    </xf>
    <xf numFmtId="0" fontId="0" fillId="0" borderId="79" xfId="0" applyFont="1" applyBorder="1" applyAlignment="1" applyProtection="1">
      <alignment horizontal="center" vertical="center" wrapText="1"/>
    </xf>
    <xf numFmtId="4" fontId="0" fillId="4" borderId="79" xfId="0" applyNumberFormat="1" applyFont="1" applyFill="1" applyBorder="1" applyAlignment="1" applyProtection="1">
      <alignment horizontal="right" vertical="center"/>
    </xf>
    <xf numFmtId="0" fontId="0" fillId="0" borderId="79" xfId="0" applyNumberFormat="1" applyFont="1" applyBorder="1" applyAlignment="1" applyProtection="1">
      <alignment vertical="center"/>
    </xf>
    <xf numFmtId="0" fontId="0" fillId="0" borderId="76" xfId="0" applyNumberFormat="1" applyFont="1" applyBorder="1" applyAlignment="1" applyProtection="1">
      <alignment vertical="center"/>
    </xf>
    <xf numFmtId="0" fontId="0" fillId="0" borderId="40" xfId="0" applyFont="1" applyFill="1" applyBorder="1" applyAlignment="1" applyProtection="1">
      <alignment horizontal="center" vertical="center"/>
    </xf>
    <xf numFmtId="0" fontId="0" fillId="0" borderId="86" xfId="0" applyFont="1" applyFill="1" applyBorder="1" applyAlignment="1" applyProtection="1">
      <alignment horizontal="center" vertical="center"/>
    </xf>
    <xf numFmtId="0" fontId="0" fillId="0" borderId="116" xfId="0" applyFont="1" applyFill="1" applyBorder="1" applyAlignment="1" applyProtection="1">
      <alignment horizontal="center" vertical="center"/>
    </xf>
    <xf numFmtId="0" fontId="0" fillId="15" borderId="113" xfId="0" applyNumberFormat="1" applyFont="1" applyFill="1" applyBorder="1" applyAlignment="1" applyProtection="1">
      <alignment vertical="top" wrapText="1"/>
    </xf>
    <xf numFmtId="0" fontId="0" fillId="0" borderId="73" xfId="0" applyFont="1" applyFill="1" applyBorder="1" applyAlignment="1" applyProtection="1">
      <alignment vertical="top" wrapText="1"/>
    </xf>
    <xf numFmtId="4" fontId="0" fillId="4" borderId="74" xfId="0" applyNumberFormat="1" applyFont="1" applyFill="1" applyBorder="1" applyAlignment="1" applyProtection="1">
      <alignment horizontal="right" vertical="center"/>
    </xf>
    <xf numFmtId="0" fontId="0" fillId="0" borderId="73" xfId="0" applyFill="1" applyBorder="1" applyAlignment="1" applyProtection="1">
      <alignment vertical="top" wrapText="1"/>
    </xf>
    <xf numFmtId="0" fontId="0" fillId="0" borderId="75" xfId="0" applyFont="1" applyFill="1" applyBorder="1" applyAlignment="1" applyProtection="1">
      <alignment vertical="center" wrapText="1"/>
    </xf>
    <xf numFmtId="0" fontId="134" fillId="0" borderId="1" xfId="0" applyFont="1" applyBorder="1" applyAlignment="1">
      <alignment horizontal="center" vertical="center" wrapText="1"/>
    </xf>
    <xf numFmtId="167" fontId="144" fillId="15" borderId="0" xfId="15" applyNumberFormat="1" applyFont="1" applyFill="1" applyAlignment="1">
      <alignment horizontal="center" vertical="center" wrapText="1"/>
    </xf>
    <xf numFmtId="0" fontId="163" fillId="21" borderId="1" xfId="0" applyFont="1" applyFill="1" applyBorder="1" applyAlignment="1">
      <alignment horizontal="center" vertical="center" wrapText="1"/>
    </xf>
    <xf numFmtId="167" fontId="134" fillId="15" borderId="0" xfId="15" applyNumberFormat="1" applyFont="1" applyFill="1" applyAlignment="1">
      <alignment horizontal="left" vertical="center" wrapText="1"/>
    </xf>
    <xf numFmtId="167" fontId="139" fillId="15" borderId="0" xfId="15" applyNumberFormat="1" applyFont="1" applyFill="1" applyAlignment="1">
      <alignment horizontal="left" vertical="center" wrapText="1"/>
    </xf>
    <xf numFmtId="0" fontId="163" fillId="0" borderId="1" xfId="0" applyFont="1" applyBorder="1" applyAlignment="1">
      <alignment horizontal="center" vertical="center" wrapText="1"/>
    </xf>
    <xf numFmtId="0" fontId="150" fillId="0" borderId="1" xfId="0" applyFont="1" applyBorder="1" applyAlignment="1">
      <alignment horizontal="center" vertical="center" wrapText="1"/>
    </xf>
    <xf numFmtId="0" fontId="145" fillId="0" borderId="1" xfId="0" applyFont="1" applyBorder="1" applyAlignment="1">
      <alignment horizontal="center" vertical="center" wrapText="1"/>
    </xf>
    <xf numFmtId="167" fontId="134" fillId="15" borderId="0" xfId="15" applyNumberFormat="1" applyFont="1" applyFill="1" applyBorder="1" applyAlignment="1">
      <alignment horizontal="left" vertical="center" wrapText="1"/>
    </xf>
    <xf numFmtId="0" fontId="151" fillId="0" borderId="1" xfId="0" applyFont="1" applyBorder="1" applyAlignment="1">
      <alignment horizontal="center" vertical="center"/>
    </xf>
    <xf numFmtId="0" fontId="151" fillId="0" borderId="1" xfId="0" applyFont="1" applyBorder="1" applyAlignment="1">
      <alignment horizontal="center" vertical="center" wrapText="1"/>
    </xf>
    <xf numFmtId="49" fontId="163" fillId="0" borderId="1" xfId="15" applyFont="1" applyBorder="1" applyAlignment="1">
      <alignment horizontal="center" vertical="center" wrapText="1"/>
    </xf>
    <xf numFmtId="49" fontId="159" fillId="0" borderId="1" xfId="15" applyFont="1" applyBorder="1" applyAlignment="1">
      <alignment horizontal="center" vertical="center" wrapText="1"/>
    </xf>
    <xf numFmtId="49" fontId="160" fillId="0" borderId="1" xfId="15" applyFont="1" applyBorder="1" applyAlignment="1">
      <alignment horizontal="center" vertical="center" wrapText="1"/>
    </xf>
    <xf numFmtId="167" fontId="134" fillId="21" borderId="60" xfId="15" applyNumberFormat="1" applyFont="1" applyFill="1" applyBorder="1" applyAlignment="1">
      <alignment horizontal="left" vertical="center" wrapText="1"/>
    </xf>
    <xf numFmtId="0" fontId="153" fillId="0" borderId="1" xfId="15" applyNumberFormat="1" applyFont="1" applyBorder="1" applyAlignment="1">
      <alignment horizontal="center" vertical="center" wrapText="1"/>
    </xf>
    <xf numFmtId="0" fontId="159" fillId="0" borderId="1" xfId="0" applyFont="1" applyBorder="1" applyAlignment="1">
      <alignment horizontal="center" vertical="center" wrapText="1"/>
    </xf>
    <xf numFmtId="0" fontId="170" fillId="0" borderId="1" xfId="0" applyFont="1" applyBorder="1" applyAlignment="1">
      <alignment horizontal="center" vertical="center"/>
    </xf>
    <xf numFmtId="168" fontId="145" fillId="16" borderId="1" xfId="0" applyNumberFormat="1" applyFont="1" applyFill="1" applyBorder="1" applyAlignment="1">
      <alignment horizontal="center" vertical="center" wrapText="1"/>
    </xf>
    <xf numFmtId="0" fontId="148" fillId="0" borderId="1" xfId="0" applyFont="1" applyBorder="1" applyAlignment="1">
      <alignment horizontal="center" vertical="center" wrapText="1"/>
    </xf>
    <xf numFmtId="49" fontId="170" fillId="0" borderId="1" xfId="15" applyFont="1" applyBorder="1" applyAlignment="1">
      <alignment horizontal="center" vertical="center"/>
    </xf>
    <xf numFmtId="49" fontId="159" fillId="0" borderId="1" xfId="15" applyFont="1" applyBorder="1" applyAlignment="1">
      <alignment horizontal="center" vertical="center"/>
    </xf>
    <xf numFmtId="170" fontId="150" fillId="16" borderId="1" xfId="0" applyNumberFormat="1" applyFont="1" applyFill="1" applyBorder="1" applyAlignment="1">
      <alignment horizontal="center" vertical="center" wrapText="1"/>
    </xf>
    <xf numFmtId="0" fontId="160" fillId="0" borderId="1" xfId="0" applyFont="1" applyBorder="1" applyAlignment="1">
      <alignment horizontal="center" vertical="center" wrapText="1"/>
    </xf>
    <xf numFmtId="167" fontId="134" fillId="15" borderId="0" xfId="15" applyNumberFormat="1" applyFont="1" applyFill="1" applyAlignment="1">
      <alignment horizontal="center" vertical="center" wrapText="1"/>
    </xf>
    <xf numFmtId="167" fontId="134" fillId="15" borderId="0" xfId="15" applyNumberFormat="1" applyFont="1" applyFill="1" applyBorder="1" applyAlignment="1">
      <alignment horizontal="center" vertical="center" wrapText="1"/>
    </xf>
    <xf numFmtId="167" fontId="134" fillId="15" borderId="0" xfId="15" applyNumberFormat="1" applyFont="1" applyFill="1" applyBorder="1" applyAlignment="1">
      <alignment vertical="center" wrapText="1"/>
    </xf>
    <xf numFmtId="167" fontId="134" fillId="15" borderId="1" xfId="15" applyNumberFormat="1" applyFont="1" applyFill="1" applyBorder="1" applyAlignment="1">
      <alignment horizontal="center" vertical="center" wrapText="1"/>
    </xf>
    <xf numFmtId="167" fontId="142" fillId="15" borderId="0" xfId="15" applyNumberFormat="1" applyFont="1" applyFill="1" applyBorder="1" applyAlignment="1">
      <alignment horizontal="left" vertical="center" wrapText="1"/>
    </xf>
    <xf numFmtId="167" fontId="134" fillId="21" borderId="40" xfId="15" applyNumberFormat="1" applyFont="1" applyFill="1" applyBorder="1" applyAlignment="1">
      <alignment horizontal="center" vertical="center" wrapText="1"/>
    </xf>
    <xf numFmtId="167" fontId="134" fillId="21" borderId="41" xfId="15" applyNumberFormat="1" applyFont="1" applyFill="1" applyBorder="1" applyAlignment="1">
      <alignment horizontal="center" vertical="center" wrapText="1"/>
    </xf>
    <xf numFmtId="167" fontId="134" fillId="21" borderId="48" xfId="15" applyNumberFormat="1" applyFont="1" applyFill="1" applyBorder="1" applyAlignment="1">
      <alignment horizontal="center" vertical="center" wrapText="1"/>
    </xf>
    <xf numFmtId="49" fontId="150" fillId="15" borderId="1" xfId="15" applyFont="1" applyFill="1" applyBorder="1" applyAlignment="1">
      <alignment horizontal="center" vertical="center" wrapText="1"/>
    </xf>
    <xf numFmtId="49" fontId="145" fillId="0" borderId="1" xfId="15" applyFont="1" applyBorder="1" applyAlignment="1">
      <alignment horizontal="center" vertical="center" wrapText="1"/>
    </xf>
    <xf numFmtId="49" fontId="150" fillId="0" borderId="1" xfId="15" applyFont="1" applyBorder="1" applyAlignment="1">
      <alignment horizontal="center" vertical="center" wrapText="1"/>
    </xf>
    <xf numFmtId="49" fontId="150" fillId="0" borderId="1" xfId="15" applyFont="1" applyBorder="1" applyAlignment="1">
      <alignment horizontal="left" vertical="center" wrapText="1" indent="1"/>
    </xf>
    <xf numFmtId="49" fontId="150" fillId="0" borderId="1" xfId="15" applyFont="1" applyBorder="1" applyAlignment="1">
      <alignment horizontal="center" vertical="center"/>
    </xf>
    <xf numFmtId="49" fontId="150" fillId="0" borderId="1" xfId="15" applyFont="1" applyBorder="1" applyAlignment="1">
      <alignment vertical="center" wrapText="1"/>
    </xf>
    <xf numFmtId="49" fontId="145" fillId="0" borderId="1" xfId="15" applyFont="1" applyBorder="1" applyAlignment="1">
      <alignment horizontal="center" vertical="center"/>
    </xf>
    <xf numFmtId="49" fontId="146" fillId="0" borderId="1" xfId="15" applyFont="1" applyBorder="1" applyAlignment="1">
      <alignment horizontal="center" vertical="center" wrapText="1"/>
    </xf>
    <xf numFmtId="49" fontId="165" fillId="0" borderId="1" xfId="15" applyFont="1" applyBorder="1" applyAlignment="1">
      <alignment horizontal="center" vertical="center" wrapText="1"/>
    </xf>
    <xf numFmtId="49" fontId="146" fillId="22" borderId="1" xfId="15" applyFont="1" applyFill="1" applyBorder="1" applyAlignment="1">
      <alignment horizontal="center" vertical="center" wrapText="1"/>
    </xf>
    <xf numFmtId="49" fontId="152" fillId="21" borderId="1" xfId="15" applyFont="1" applyFill="1" applyBorder="1" applyAlignment="1">
      <alignment vertical="center"/>
    </xf>
    <xf numFmtId="49" fontId="150" fillId="21" borderId="1" xfId="15" applyFont="1" applyFill="1" applyBorder="1" applyAlignment="1">
      <alignment horizontal="center" vertical="center"/>
    </xf>
    <xf numFmtId="49" fontId="148" fillId="0" borderId="1" xfId="15" applyFont="1" applyBorder="1" applyAlignment="1">
      <alignment horizontal="center" vertical="center" wrapText="1"/>
    </xf>
    <xf numFmtId="49" fontId="145" fillId="22" borderId="1" xfId="15" applyFont="1" applyFill="1" applyBorder="1" applyAlignment="1">
      <alignment horizontal="center" vertical="center" wrapText="1"/>
    </xf>
    <xf numFmtId="49" fontId="163" fillId="21" borderId="1" xfId="15" applyFont="1" applyFill="1" applyBorder="1" applyAlignment="1">
      <alignment horizontal="center" vertical="center"/>
    </xf>
    <xf numFmtId="49" fontId="151" fillId="0" borderId="1" xfId="15" applyFont="1" applyBorder="1" applyAlignment="1">
      <alignment vertical="center" wrapText="1"/>
    </xf>
    <xf numFmtId="0" fontId="147" fillId="22" borderId="1" xfId="15" applyNumberFormat="1" applyFont="1" applyFill="1" applyBorder="1" applyAlignment="1">
      <alignment horizontal="center" vertical="center" wrapText="1"/>
    </xf>
    <xf numFmtId="167" fontId="200" fillId="24" borderId="99" xfId="0" applyNumberFormat="1" applyFont="1" applyFill="1" applyBorder="1" applyAlignment="1">
      <alignment horizontal="center" vertical="center"/>
    </xf>
    <xf numFmtId="167" fontId="206" fillId="15" borderId="0" xfId="0" applyNumberFormat="1" applyFont="1" applyFill="1" applyAlignment="1">
      <alignment horizontal="center" vertical="center"/>
    </xf>
    <xf numFmtId="167" fontId="200" fillId="24" borderId="76" xfId="0" applyNumberFormat="1" applyFont="1" applyFill="1" applyBorder="1" applyAlignment="1">
      <alignment horizontal="center" vertical="center"/>
    </xf>
    <xf numFmtId="1" fontId="39" fillId="7" borderId="39" xfId="19" applyNumberFormat="1" applyFont="1" applyFill="1" applyBorder="1" applyAlignment="1" applyProtection="1">
      <alignment horizontal="center" vertical="center" wrapText="1"/>
    </xf>
    <xf numFmtId="1" fontId="5" fillId="4" borderId="52" xfId="0" applyNumberFormat="1" applyFont="1" applyFill="1" applyBorder="1" applyAlignment="1" applyProtection="1">
      <alignment horizontal="center" vertical="center" wrapText="1"/>
    </xf>
    <xf numFmtId="10" fontId="201" fillId="3" borderId="72" xfId="37" applyNumberFormat="1" applyFont="1" applyFill="1" applyBorder="1" applyAlignment="1">
      <alignment horizontal="center" vertical="center"/>
    </xf>
    <xf numFmtId="10" fontId="201" fillId="26" borderId="40" xfId="37" applyNumberFormat="1" applyFont="1" applyFill="1" applyBorder="1" applyAlignment="1">
      <alignment horizontal="center" vertical="center"/>
    </xf>
    <xf numFmtId="10" fontId="201" fillId="26" borderId="41" xfId="37" applyNumberFormat="1" applyFont="1" applyFill="1" applyBorder="1" applyAlignment="1">
      <alignment horizontal="center" vertical="center"/>
    </xf>
    <xf numFmtId="10" fontId="201" fillId="26" borderId="73" xfId="37" applyNumberFormat="1" applyFont="1" applyFill="1" applyBorder="1" applyAlignment="1">
      <alignment horizontal="center" vertical="center"/>
    </xf>
    <xf numFmtId="10" fontId="201" fillId="26" borderId="74" xfId="37" applyNumberFormat="1" applyFont="1" applyFill="1" applyBorder="1" applyAlignment="1">
      <alignment horizontal="center" vertical="center"/>
    </xf>
    <xf numFmtId="10" fontId="201" fillId="3" borderId="41" xfId="37" applyNumberFormat="1" applyFont="1" applyFill="1" applyBorder="1" applyAlignment="1">
      <alignment horizontal="center" vertical="center"/>
    </xf>
    <xf numFmtId="10" fontId="150" fillId="16" borderId="1" xfId="37" applyNumberFormat="1" applyFont="1" applyFill="1" applyBorder="1" applyAlignment="1">
      <alignment horizontal="center" vertical="center" wrapText="1"/>
    </xf>
    <xf numFmtId="10" fontId="150" fillId="21" borderId="1" xfId="37" applyNumberFormat="1" applyFont="1" applyFill="1" applyBorder="1" applyAlignment="1">
      <alignment horizontal="center" vertical="center" wrapText="1"/>
    </xf>
    <xf numFmtId="10" fontId="163" fillId="16" borderId="1" xfId="37" applyNumberFormat="1" applyFont="1" applyFill="1" applyBorder="1" applyAlignment="1">
      <alignment horizontal="center" vertical="center"/>
    </xf>
    <xf numFmtId="167" fontId="150" fillId="28" borderId="1" xfId="15" applyNumberFormat="1" applyFont="1" applyFill="1" applyBorder="1" applyAlignment="1">
      <alignment horizontal="center" vertical="center"/>
    </xf>
    <xf numFmtId="10" fontId="151" fillId="28" borderId="1" xfId="36" applyNumberFormat="1" applyFont="1" applyFill="1" applyBorder="1" applyAlignment="1">
      <alignment vertical="center"/>
    </xf>
    <xf numFmtId="167" fontId="145" fillId="28" borderId="1" xfId="15" applyNumberFormat="1" applyFont="1" applyFill="1" applyBorder="1" applyAlignment="1">
      <alignment horizontal="center" vertical="center" wrapText="1"/>
    </xf>
    <xf numFmtId="167" fontId="151" fillId="28" borderId="1" xfId="15" applyNumberFormat="1" applyFont="1" applyFill="1" applyBorder="1" applyAlignment="1">
      <alignment horizontal="center" vertical="center" wrapText="1"/>
    </xf>
    <xf numFmtId="167" fontId="145" fillId="28" borderId="1" xfId="15" applyNumberFormat="1" applyFont="1" applyFill="1" applyBorder="1" applyAlignment="1">
      <alignment horizontal="center" vertical="center"/>
    </xf>
    <xf numFmtId="167" fontId="150" fillId="28" borderId="1" xfId="15" applyNumberFormat="1" applyFont="1" applyFill="1" applyBorder="1" applyAlignment="1">
      <alignment horizontal="center" vertical="center" wrapText="1"/>
    </xf>
    <xf numFmtId="168" fontId="145" fillId="28" borderId="1" xfId="15" applyNumberFormat="1" applyFont="1" applyFill="1" applyBorder="1" applyAlignment="1">
      <alignment horizontal="center" vertical="center" wrapText="1"/>
    </xf>
    <xf numFmtId="168" fontId="145" fillId="28" borderId="1" xfId="15" applyNumberFormat="1" applyFont="1" applyFill="1" applyBorder="1" applyAlignment="1">
      <alignment horizontal="center" vertical="center"/>
    </xf>
    <xf numFmtId="168" fontId="160" fillId="28" borderId="1" xfId="15" applyNumberFormat="1" applyFont="1" applyFill="1" applyBorder="1" applyAlignment="1">
      <alignment horizontal="center" vertical="center"/>
    </xf>
    <xf numFmtId="10" fontId="160" fillId="28" borderId="1" xfId="36" applyNumberFormat="1" applyFont="1" applyFill="1" applyBorder="1" applyAlignment="1">
      <alignment horizontal="center" vertical="center"/>
    </xf>
    <xf numFmtId="168" fontId="150" fillId="28" borderId="1" xfId="15" applyNumberFormat="1" applyFont="1" applyFill="1" applyBorder="1" applyAlignment="1">
      <alignment horizontal="center" vertical="center" wrapText="1"/>
    </xf>
    <xf numFmtId="10" fontId="150" fillId="28" borderId="1" xfId="37" applyNumberFormat="1" applyFont="1" applyFill="1" applyBorder="1" applyAlignment="1">
      <alignment horizontal="center" vertical="center" wrapText="1"/>
    </xf>
    <xf numFmtId="170" fontId="150" fillId="28" borderId="1" xfId="15" applyNumberFormat="1" applyFont="1" applyFill="1" applyBorder="1" applyAlignment="1">
      <alignment horizontal="center" vertical="center" wrapText="1"/>
    </xf>
    <xf numFmtId="10" fontId="150" fillId="28" borderId="1" xfId="36" applyNumberFormat="1" applyFont="1" applyFill="1" applyBorder="1" applyAlignment="1">
      <alignment horizontal="center" vertical="center" wrapText="1"/>
    </xf>
    <xf numFmtId="4" fontId="150" fillId="28" borderId="1" xfId="15" applyNumberFormat="1" applyFont="1" applyFill="1" applyBorder="1" applyAlignment="1">
      <alignment horizontal="center" vertical="center" wrapText="1"/>
    </xf>
    <xf numFmtId="169" fontId="150" fillId="28" borderId="1" xfId="36" applyNumberFormat="1" applyFont="1" applyFill="1" applyBorder="1" applyAlignment="1">
      <alignment horizontal="center" vertical="center" wrapText="1"/>
    </xf>
    <xf numFmtId="167" fontId="158" fillId="28" borderId="1" xfId="15" applyNumberFormat="1" applyFont="1" applyFill="1" applyBorder="1" applyAlignment="1">
      <alignment horizontal="center" vertical="center" wrapText="1"/>
    </xf>
    <xf numFmtId="167" fontId="146" fillId="28" borderId="1" xfId="15" applyNumberFormat="1" applyFont="1" applyFill="1" applyBorder="1" applyAlignment="1">
      <alignment horizontal="center" vertical="center" wrapText="1"/>
    </xf>
    <xf numFmtId="167" fontId="152" fillId="28" borderId="1" xfId="15" applyNumberFormat="1" applyFont="1" applyFill="1" applyBorder="1" applyAlignment="1">
      <alignment horizontal="center" vertical="center"/>
    </xf>
    <xf numFmtId="10" fontId="152" fillId="28" borderId="1" xfId="36" applyNumberFormat="1" applyFont="1" applyFill="1" applyBorder="1" applyAlignment="1">
      <alignment horizontal="center" vertical="center"/>
    </xf>
    <xf numFmtId="10" fontId="150" fillId="28" borderId="1" xfId="36" applyNumberFormat="1" applyFont="1" applyFill="1" applyBorder="1" applyAlignment="1">
      <alignment horizontal="center" vertical="center"/>
    </xf>
    <xf numFmtId="167" fontId="152" fillId="28" borderId="1" xfId="15" applyNumberFormat="1" applyFont="1" applyFill="1" applyBorder="1" applyAlignment="1">
      <alignment horizontal="center" vertical="center" wrapText="1"/>
    </xf>
    <xf numFmtId="10" fontId="152" fillId="28" borderId="1" xfId="37" applyNumberFormat="1" applyFont="1" applyFill="1" applyBorder="1" applyAlignment="1">
      <alignment horizontal="center" vertical="center" wrapText="1"/>
    </xf>
    <xf numFmtId="167" fontId="146" fillId="12" borderId="1" xfId="15" applyNumberFormat="1" applyFont="1" applyFill="1" applyBorder="1" applyAlignment="1">
      <alignment horizontal="center" vertical="center" wrapText="1"/>
    </xf>
    <xf numFmtId="0" fontId="137" fillId="28" borderId="0" xfId="15" applyNumberFormat="1" applyFont="1" applyFill="1" applyAlignment="1">
      <alignment horizontal="center" vertical="center" wrapText="1"/>
    </xf>
    <xf numFmtId="167" fontId="202" fillId="28" borderId="1" xfId="0" applyNumberFormat="1" applyFont="1" applyFill="1" applyBorder="1" applyAlignment="1">
      <alignment horizontal="center" vertical="center"/>
    </xf>
    <xf numFmtId="167" fontId="201" fillId="28" borderId="1" xfId="0" applyNumberFormat="1" applyFont="1" applyFill="1" applyBorder="1" applyAlignment="1">
      <alignment horizontal="center" vertical="center"/>
    </xf>
    <xf numFmtId="4" fontId="203" fillId="28" borderId="1" xfId="0" applyNumberFormat="1" applyFont="1" applyFill="1" applyBorder="1" applyAlignment="1">
      <alignment horizontal="center" vertical="center"/>
    </xf>
    <xf numFmtId="0" fontId="150" fillId="28" borderId="1" xfId="0" applyFont="1" applyFill="1" applyBorder="1" applyAlignment="1">
      <alignment horizontal="center" vertical="center"/>
    </xf>
    <xf numFmtId="0" fontId="158" fillId="28" borderId="1" xfId="0" applyFont="1" applyFill="1" applyBorder="1" applyAlignment="1">
      <alignment horizontal="center" vertical="center" wrapText="1"/>
    </xf>
    <xf numFmtId="0" fontId="145" fillId="28" borderId="1" xfId="0" applyFont="1" applyFill="1" applyBorder="1" applyAlignment="1">
      <alignment horizontal="center" vertical="center" wrapText="1"/>
    </xf>
    <xf numFmtId="167" fontId="167" fillId="28" borderId="1" xfId="15" applyNumberFormat="1" applyFont="1" applyFill="1" applyBorder="1" applyAlignment="1">
      <alignment horizontal="center" vertical="center" wrapText="1"/>
    </xf>
    <xf numFmtId="167" fontId="163" fillId="28" borderId="1" xfId="15" applyNumberFormat="1" applyFont="1" applyFill="1" applyBorder="1" applyAlignment="1">
      <alignment horizontal="center" vertical="center" wrapText="1"/>
    </xf>
    <xf numFmtId="10" fontId="167" fillId="28" borderId="1" xfId="36" applyNumberFormat="1" applyFont="1" applyFill="1" applyBorder="1" applyAlignment="1">
      <alignment horizontal="center" vertical="center" wrapText="1"/>
    </xf>
    <xf numFmtId="10" fontId="163" fillId="28" borderId="1" xfId="36" applyNumberFormat="1" applyFont="1" applyFill="1" applyBorder="1" applyAlignment="1">
      <alignment horizontal="center" vertical="center" wrapText="1"/>
    </xf>
    <xf numFmtId="167" fontId="145" fillId="28" borderId="39" xfId="15" applyNumberFormat="1" applyFont="1" applyFill="1" applyBorder="1" applyAlignment="1">
      <alignment horizontal="center" vertical="center" wrapText="1"/>
    </xf>
    <xf numFmtId="167" fontId="145" fillId="28" borderId="40" xfId="15" applyNumberFormat="1" applyFont="1" applyFill="1" applyBorder="1" applyAlignment="1">
      <alignment horizontal="center" vertical="center" wrapText="1"/>
    </xf>
    <xf numFmtId="167" fontId="164" fillId="28" borderId="1" xfId="15" applyNumberFormat="1" applyFont="1" applyFill="1" applyBorder="1" applyAlignment="1">
      <alignment horizontal="center" vertical="center" wrapText="1"/>
    </xf>
    <xf numFmtId="167" fontId="150" fillId="12" borderId="40" xfId="15" applyNumberFormat="1" applyFont="1" applyFill="1" applyBorder="1" applyAlignment="1">
      <alignment horizontal="center" vertical="center" wrapText="1"/>
    </xf>
    <xf numFmtId="10" fontId="164" fillId="28" borderId="1" xfId="36" applyNumberFormat="1" applyFont="1" applyFill="1" applyBorder="1" applyAlignment="1">
      <alignment horizontal="center" vertical="center" wrapText="1"/>
    </xf>
    <xf numFmtId="10" fontId="150" fillId="12" borderId="1" xfId="36" applyNumberFormat="1" applyFont="1" applyFill="1" applyBorder="1" applyAlignment="1">
      <alignment horizontal="center" vertical="center" wrapText="1"/>
    </xf>
    <xf numFmtId="167" fontId="167" fillId="28" borderId="1" xfId="15" applyNumberFormat="1" applyFont="1" applyFill="1" applyBorder="1" applyAlignment="1">
      <alignment horizontal="center" vertical="center"/>
    </xf>
    <xf numFmtId="167" fontId="163" fillId="28" borderId="1" xfId="15" applyNumberFormat="1" applyFont="1" applyFill="1" applyBorder="1" applyAlignment="1">
      <alignment horizontal="center" vertical="center"/>
    </xf>
    <xf numFmtId="10" fontId="164" fillId="28" borderId="1" xfId="37" applyNumberFormat="1" applyFont="1" applyFill="1" applyBorder="1" applyAlignment="1">
      <alignment horizontal="center" vertical="center" wrapText="1"/>
    </xf>
    <xf numFmtId="167" fontId="164" fillId="28" borderId="1" xfId="15" applyNumberFormat="1" applyFont="1" applyFill="1" applyBorder="1" applyAlignment="1">
      <alignment horizontal="center" vertical="center"/>
    </xf>
    <xf numFmtId="49" fontId="150" fillId="28" borderId="1" xfId="15" applyFont="1" applyFill="1" applyBorder="1" applyAlignment="1">
      <alignment horizontal="center" vertical="center" wrapText="1"/>
    </xf>
    <xf numFmtId="168" fontId="151" fillId="28" borderId="1" xfId="15" applyNumberFormat="1" applyFont="1" applyFill="1" applyBorder="1" applyAlignment="1">
      <alignment horizontal="center" vertical="center" wrapText="1"/>
    </xf>
    <xf numFmtId="168" fontId="146" fillId="28" borderId="1" xfId="15" applyNumberFormat="1" applyFont="1" applyFill="1" applyBorder="1" applyAlignment="1">
      <alignment horizontal="center" vertical="center" wrapText="1"/>
    </xf>
    <xf numFmtId="49" fontId="24" fillId="5" borderId="1" xfId="0" applyNumberFormat="1" applyFont="1" applyFill="1" applyBorder="1" applyAlignment="1" applyProtection="1">
      <alignment horizontal="center" vertical="center" wrapText="1"/>
    </xf>
    <xf numFmtId="0" fontId="38" fillId="0" borderId="0" xfId="17" applyFont="1" applyAlignment="1" applyProtection="1">
      <alignment horizontal="center" vertical="center" wrapText="1"/>
    </xf>
    <xf numFmtId="167" fontId="194" fillId="15" borderId="0" xfId="0" applyNumberFormat="1" applyFont="1" applyFill="1" applyAlignment="1">
      <alignment horizontal="right"/>
    </xf>
    <xf numFmtId="0" fontId="167" fillId="0" borderId="40" xfId="0" applyFont="1" applyBorder="1" applyAlignment="1">
      <alignment horizontal="center" vertical="center" wrapText="1"/>
    </xf>
    <xf numFmtId="0" fontId="167" fillId="0" borderId="41" xfId="0" applyFont="1" applyBorder="1" applyAlignment="1">
      <alignment horizontal="center" vertical="center" wrapText="1"/>
    </xf>
    <xf numFmtId="0" fontId="167" fillId="0" borderId="48" xfId="0" applyFont="1" applyBorder="1" applyAlignment="1">
      <alignment horizontal="center" vertical="center" wrapText="1"/>
    </xf>
    <xf numFmtId="0" fontId="163" fillId="21" borderId="1" xfId="0" applyFont="1" applyFill="1" applyBorder="1" applyAlignment="1">
      <alignment horizontal="center" vertical="center" wrapText="1"/>
    </xf>
    <xf numFmtId="167" fontId="144" fillId="15" borderId="0" xfId="15" applyNumberFormat="1" applyFont="1" applyFill="1" applyAlignment="1">
      <alignment horizontal="center" vertical="center" wrapText="1"/>
    </xf>
    <xf numFmtId="0" fontId="139" fillId="16" borderId="40" xfId="0" applyFont="1" applyFill="1" applyBorder="1" applyAlignment="1">
      <alignment horizontal="center" vertical="center" wrapText="1"/>
    </xf>
    <xf numFmtId="0" fontId="139" fillId="16" borderId="41" xfId="0" applyFont="1" applyFill="1" applyBorder="1" applyAlignment="1">
      <alignment horizontal="center" vertical="center" wrapText="1"/>
    </xf>
    <xf numFmtId="0" fontId="139" fillId="16" borderId="48" xfId="0" applyFont="1" applyFill="1" applyBorder="1" applyAlignment="1">
      <alignment horizontal="center" vertical="center" wrapText="1"/>
    </xf>
    <xf numFmtId="0" fontId="134" fillId="0" borderId="1" xfId="0" applyFont="1" applyBorder="1" applyAlignment="1">
      <alignment horizontal="center" vertical="center" wrapText="1"/>
    </xf>
    <xf numFmtId="0" fontId="134" fillId="0" borderId="39" xfId="0" applyFont="1" applyBorder="1" applyAlignment="1">
      <alignment horizontal="center" vertical="center"/>
    </xf>
    <xf numFmtId="0" fontId="134" fillId="0" borderId="43" xfId="0" applyFont="1" applyBorder="1" applyAlignment="1">
      <alignment horizontal="center" vertical="center"/>
    </xf>
    <xf numFmtId="0" fontId="144" fillId="16" borderId="40" xfId="0" applyFont="1" applyFill="1" applyBorder="1" applyAlignment="1">
      <alignment horizontal="center" vertical="center" wrapText="1"/>
    </xf>
    <xf numFmtId="0" fontId="144" fillId="16" borderId="41" xfId="0" applyFont="1" applyFill="1" applyBorder="1" applyAlignment="1">
      <alignment horizontal="center" vertical="center" wrapText="1"/>
    </xf>
    <xf numFmtId="0" fontId="144" fillId="16" borderId="48" xfId="0" applyFont="1" applyFill="1" applyBorder="1" applyAlignment="1">
      <alignment horizontal="center" vertical="center" wrapText="1"/>
    </xf>
    <xf numFmtId="167" fontId="134" fillId="15" borderId="0" xfId="15" applyNumberFormat="1" applyFont="1" applyFill="1" applyAlignment="1">
      <alignment horizontal="left" vertical="center" wrapText="1"/>
    </xf>
    <xf numFmtId="167" fontId="139" fillId="15" borderId="0" xfId="15" applyNumberFormat="1" applyFont="1" applyFill="1" applyAlignment="1">
      <alignment horizontal="left" vertical="center" wrapText="1"/>
    </xf>
    <xf numFmtId="167" fontId="144" fillId="15" borderId="0" xfId="15" applyNumberFormat="1" applyFont="1" applyFill="1" applyAlignment="1">
      <alignment horizontal="left" vertical="center" wrapText="1"/>
    </xf>
    <xf numFmtId="167" fontId="144" fillId="15" borderId="0" xfId="15" applyNumberFormat="1" applyFont="1" applyFill="1" applyBorder="1" applyAlignment="1">
      <alignment horizontal="center" vertical="center" wrapText="1"/>
    </xf>
    <xf numFmtId="0" fontId="163" fillId="0" borderId="1" xfId="0" applyFont="1" applyBorder="1" applyAlignment="1">
      <alignment horizontal="center" vertical="center" wrapText="1"/>
    </xf>
    <xf numFmtId="0" fontId="163" fillId="0" borderId="39" xfId="0" applyFont="1" applyBorder="1" applyAlignment="1">
      <alignment horizontal="center" vertical="center" wrapText="1"/>
    </xf>
    <xf numFmtId="0" fontId="163" fillId="0" borderId="43" xfId="0" applyFont="1" applyBorder="1" applyAlignment="1">
      <alignment horizontal="center" vertical="center" wrapText="1"/>
    </xf>
    <xf numFmtId="0" fontId="204" fillId="0" borderId="1" xfId="0" applyFont="1" applyBorder="1" applyAlignment="1">
      <alignment horizontal="center" vertical="center"/>
    </xf>
    <xf numFmtId="0" fontId="204" fillId="0" borderId="1" xfId="0" applyFont="1" applyBorder="1" applyAlignment="1">
      <alignment horizontal="center" vertical="center" wrapText="1"/>
    </xf>
    <xf numFmtId="0" fontId="150" fillId="0" borderId="1" xfId="0" applyFont="1" applyBorder="1" applyAlignment="1">
      <alignment horizontal="center" vertical="center" wrapText="1"/>
    </xf>
    <xf numFmtId="0" fontId="145" fillId="0" borderId="1" xfId="0" applyFont="1" applyBorder="1" applyAlignment="1">
      <alignment horizontal="center" vertical="center" wrapText="1"/>
    </xf>
    <xf numFmtId="0" fontId="153" fillId="0" borderId="1" xfId="0" applyFont="1" applyBorder="1" applyAlignment="1">
      <alignment horizontal="center" vertical="center" wrapText="1"/>
    </xf>
    <xf numFmtId="167" fontId="134" fillId="15" borderId="0" xfId="15" applyNumberFormat="1" applyFont="1" applyFill="1" applyBorder="1" applyAlignment="1">
      <alignment horizontal="left" vertical="center" wrapText="1"/>
    </xf>
    <xf numFmtId="167" fontId="134" fillId="21" borderId="0" xfId="15" applyNumberFormat="1" applyFont="1" applyFill="1" applyBorder="1" applyAlignment="1">
      <alignment horizontal="left" vertical="center" wrapText="1"/>
    </xf>
    <xf numFmtId="0" fontId="151" fillId="0" borderId="1" xfId="0" applyFont="1" applyBorder="1" applyAlignment="1">
      <alignment horizontal="center" vertical="center"/>
    </xf>
    <xf numFmtId="0" fontId="151" fillId="0" borderId="1" xfId="0" applyFont="1" applyBorder="1" applyAlignment="1">
      <alignment horizontal="center" vertical="center" wrapText="1"/>
    </xf>
    <xf numFmtId="0" fontId="150" fillId="0" borderId="1" xfId="0" applyFont="1" applyBorder="1" applyAlignment="1">
      <alignment horizontal="center" vertical="center"/>
    </xf>
    <xf numFmtId="0" fontId="150" fillId="21" borderId="1" xfId="0" applyFont="1" applyFill="1" applyBorder="1" applyAlignment="1">
      <alignment vertical="center"/>
    </xf>
    <xf numFmtId="0" fontId="145" fillId="0" borderId="1" xfId="0" applyFont="1" applyBorder="1" applyAlignment="1">
      <alignment horizontal="center" vertical="center"/>
    </xf>
    <xf numFmtId="0" fontId="153" fillId="0" borderId="1" xfId="0" applyFont="1" applyBorder="1" applyAlignment="1">
      <alignment horizontal="center" vertical="center"/>
    </xf>
    <xf numFmtId="49" fontId="163" fillId="0" borderId="1" xfId="15" applyFont="1" applyBorder="1" applyAlignment="1">
      <alignment horizontal="center" vertical="center" wrapText="1"/>
    </xf>
    <xf numFmtId="49" fontId="192" fillId="21" borderId="1" xfId="15" applyFont="1" applyFill="1" applyBorder="1">
      <alignment vertical="top"/>
    </xf>
    <xf numFmtId="0" fontId="160" fillId="0" borderId="1" xfId="0" applyFont="1" applyBorder="1" applyAlignment="1">
      <alignment horizontal="left" vertical="center" wrapText="1"/>
    </xf>
    <xf numFmtId="0" fontId="150" fillId="0" borderId="1" xfId="0" applyFont="1" applyBorder="1" applyAlignment="1">
      <alignment horizontal="left" vertical="center" wrapText="1"/>
    </xf>
    <xf numFmtId="49" fontId="159" fillId="0" borderId="1" xfId="15" applyFont="1" applyBorder="1" applyAlignment="1">
      <alignment horizontal="center" vertical="center" wrapText="1"/>
    </xf>
    <xf numFmtId="49" fontId="153" fillId="0" borderId="40" xfId="15" applyFont="1" applyBorder="1" applyAlignment="1">
      <alignment horizontal="center" vertical="center" wrapText="1"/>
    </xf>
    <xf numFmtId="49" fontId="153" fillId="0" borderId="48" xfId="15" applyFont="1" applyBorder="1" applyAlignment="1">
      <alignment horizontal="center" vertical="center" wrapText="1"/>
    </xf>
    <xf numFmtId="49" fontId="145" fillId="0" borderId="40" xfId="15" applyFont="1" applyBorder="1" applyAlignment="1">
      <alignment horizontal="center" vertical="center" wrapText="1"/>
    </xf>
    <xf numFmtId="49" fontId="145" fillId="0" borderId="41" xfId="15" applyFont="1" applyBorder="1" applyAlignment="1">
      <alignment horizontal="center" vertical="center" wrapText="1"/>
    </xf>
    <xf numFmtId="49" fontId="145" fillId="0" borderId="48" xfId="15" applyFont="1" applyBorder="1" applyAlignment="1">
      <alignment horizontal="center" vertical="center" wrapText="1"/>
    </xf>
    <xf numFmtId="167" fontId="134" fillId="15" borderId="49" xfId="15" applyNumberFormat="1" applyFont="1" applyFill="1" applyBorder="1" applyAlignment="1">
      <alignment horizontal="left" vertical="center" wrapText="1"/>
    </xf>
    <xf numFmtId="167" fontId="134" fillId="21" borderId="59" xfId="15" applyNumberFormat="1" applyFont="1" applyFill="1" applyBorder="1" applyAlignment="1">
      <alignment horizontal="left" vertical="center" wrapText="1"/>
    </xf>
    <xf numFmtId="167" fontId="134" fillId="21" borderId="61" xfId="15" applyNumberFormat="1" applyFont="1" applyFill="1" applyBorder="1" applyAlignment="1">
      <alignment horizontal="left" vertical="center" wrapText="1"/>
    </xf>
    <xf numFmtId="167" fontId="134" fillId="21" borderId="60" xfId="15" applyNumberFormat="1" applyFont="1" applyFill="1" applyBorder="1" applyAlignment="1">
      <alignment horizontal="left" vertical="center" wrapText="1"/>
    </xf>
    <xf numFmtId="49" fontId="160" fillId="0" borderId="1" xfId="15" applyFont="1" applyBorder="1" applyAlignment="1">
      <alignment horizontal="center" vertical="center" wrapText="1"/>
    </xf>
    <xf numFmtId="0" fontId="153" fillId="0" borderId="1" xfId="15" applyNumberFormat="1" applyFont="1" applyBorder="1" applyAlignment="1">
      <alignment horizontal="center" vertical="center" wrapText="1"/>
    </xf>
    <xf numFmtId="168" fontId="145" fillId="16" borderId="39" xfId="0" applyNumberFormat="1" applyFont="1" applyFill="1" applyBorder="1" applyAlignment="1">
      <alignment horizontal="center" vertical="center" wrapText="1"/>
    </xf>
    <xf numFmtId="168" fontId="145" fillId="16" borderId="43" xfId="0" applyNumberFormat="1" applyFont="1" applyFill="1" applyBorder="1" applyAlignment="1">
      <alignment horizontal="center" vertical="center" wrapText="1"/>
    </xf>
    <xf numFmtId="167" fontId="157" fillId="15" borderId="0" xfId="15" applyNumberFormat="1" applyFont="1" applyFill="1" applyBorder="1" applyAlignment="1">
      <alignment horizontal="center" vertical="center" wrapText="1"/>
    </xf>
    <xf numFmtId="0" fontId="159" fillId="0" borderId="1" xfId="0" applyFont="1" applyBorder="1" applyAlignment="1">
      <alignment horizontal="center" vertical="center" wrapText="1"/>
    </xf>
    <xf numFmtId="0" fontId="159" fillId="0" borderId="1" xfId="0" applyFont="1" applyBorder="1" applyAlignment="1">
      <alignment horizontal="left" vertical="center" wrapText="1"/>
    </xf>
    <xf numFmtId="49" fontId="170" fillId="0" borderId="1" xfId="15" applyFont="1" applyBorder="1" applyAlignment="1">
      <alignment horizontal="center" vertical="center"/>
    </xf>
    <xf numFmtId="49" fontId="150" fillId="0" borderId="1" xfId="15" applyFont="1" applyBorder="1" applyAlignment="1">
      <alignment horizontal="center" vertical="center" wrapText="1"/>
    </xf>
    <xf numFmtId="49" fontId="159" fillId="0" borderId="1" xfId="15" applyFont="1" applyBorder="1" applyAlignment="1">
      <alignment horizontal="left" vertical="center" wrapText="1"/>
    </xf>
    <xf numFmtId="167" fontId="145" fillId="28" borderId="39" xfId="15" applyNumberFormat="1" applyFont="1" applyFill="1" applyBorder="1" applyAlignment="1">
      <alignment horizontal="center" vertical="center" wrapText="1"/>
    </xf>
    <xf numFmtId="167" fontId="145" fillId="28" borderId="43" xfId="15" applyNumberFormat="1" applyFont="1" applyFill="1" applyBorder="1" applyAlignment="1">
      <alignment horizontal="center" vertical="center" wrapText="1"/>
    </xf>
    <xf numFmtId="0" fontId="145" fillId="0" borderId="1" xfId="0" applyFont="1" applyBorder="1" applyAlignment="1">
      <alignment horizontal="left" vertical="center" wrapText="1"/>
    </xf>
    <xf numFmtId="0" fontId="170" fillId="0" borderId="1" xfId="0" applyFont="1" applyBorder="1" applyAlignment="1">
      <alignment horizontal="center" vertical="center"/>
    </xf>
    <xf numFmtId="167" fontId="150" fillId="0" borderId="1" xfId="0" applyNumberFormat="1" applyFont="1" applyBorder="1" applyAlignment="1">
      <alignment horizontal="left" vertical="center" wrapText="1"/>
    </xf>
    <xf numFmtId="0" fontId="153" fillId="0" borderId="40" xfId="15" applyNumberFormat="1" applyFont="1" applyBorder="1" applyAlignment="1">
      <alignment horizontal="center" vertical="center" wrapText="1"/>
    </xf>
    <xf numFmtId="0" fontId="153" fillId="0" borderId="41" xfId="15" applyNumberFormat="1" applyFont="1" applyBorder="1" applyAlignment="1">
      <alignment horizontal="center" vertical="center" wrapText="1"/>
    </xf>
    <xf numFmtId="0" fontId="153" fillId="0" borderId="48" xfId="15" applyNumberFormat="1" applyFont="1" applyBorder="1" applyAlignment="1">
      <alignment horizontal="center" vertical="center" wrapText="1"/>
    </xf>
    <xf numFmtId="168" fontId="145" fillId="16" borderId="1" xfId="0" applyNumberFormat="1" applyFont="1" applyFill="1" applyBorder="1" applyAlignment="1">
      <alignment horizontal="center" vertical="center" wrapText="1"/>
    </xf>
    <xf numFmtId="0" fontId="148" fillId="0" borderId="1" xfId="0" applyFont="1" applyBorder="1" applyAlignment="1">
      <alignment horizontal="center" vertical="center" wrapText="1"/>
    </xf>
    <xf numFmtId="167" fontId="145" fillId="16" borderId="39" xfId="15" applyNumberFormat="1" applyFont="1" applyFill="1" applyBorder="1" applyAlignment="1">
      <alignment horizontal="center" vertical="center" wrapText="1"/>
    </xf>
    <xf numFmtId="167" fontId="145" fillId="16" borderId="43" xfId="15" applyNumberFormat="1" applyFont="1" applyFill="1" applyBorder="1" applyAlignment="1">
      <alignment horizontal="center" vertical="center" wrapText="1"/>
    </xf>
    <xf numFmtId="167" fontId="150" fillId="16" borderId="39" xfId="15" applyNumberFormat="1" applyFont="1" applyFill="1" applyBorder="1" applyAlignment="1">
      <alignment horizontal="center" vertical="center" wrapText="1"/>
    </xf>
    <xf numFmtId="167" fontId="150" fillId="16" borderId="43" xfId="15" applyNumberFormat="1" applyFont="1" applyFill="1" applyBorder="1" applyAlignment="1">
      <alignment horizontal="center" vertical="center" wrapText="1"/>
    </xf>
    <xf numFmtId="49" fontId="160" fillId="0" borderId="40" xfId="15" applyFont="1" applyBorder="1" applyAlignment="1">
      <alignment horizontal="left" vertical="center" wrapText="1"/>
    </xf>
    <xf numFmtId="49" fontId="160" fillId="0" borderId="48" xfId="15" applyFont="1" applyBorder="1" applyAlignment="1">
      <alignment horizontal="left" vertical="center" wrapText="1"/>
    </xf>
    <xf numFmtId="49" fontId="150" fillId="0" borderId="40" xfId="15" applyFont="1" applyBorder="1" applyAlignment="1">
      <alignment horizontal="left" vertical="center" wrapText="1" indent="2"/>
    </xf>
    <xf numFmtId="49" fontId="150" fillId="0" borderId="48" xfId="15" applyFont="1" applyBorder="1" applyAlignment="1">
      <alignment horizontal="left" vertical="center" wrapText="1" indent="2"/>
    </xf>
    <xf numFmtId="49" fontId="160" fillId="0" borderId="1" xfId="15" applyFont="1" applyBorder="1" applyAlignment="1">
      <alignment horizontal="left" vertical="center" wrapText="1" indent="2"/>
    </xf>
    <xf numFmtId="49" fontId="160" fillId="0" borderId="1" xfId="15" applyFont="1" applyBorder="1" applyAlignment="1">
      <alignment horizontal="left" vertical="center" wrapText="1"/>
    </xf>
    <xf numFmtId="49" fontId="160" fillId="0" borderId="1" xfId="15" applyFont="1" applyBorder="1" applyAlignment="1">
      <alignment horizontal="left" vertical="center"/>
    </xf>
    <xf numFmtId="49" fontId="150" fillId="0" borderId="1" xfId="15" applyFont="1" applyBorder="1" applyAlignment="1">
      <alignment horizontal="left" vertical="center" wrapText="1"/>
    </xf>
    <xf numFmtId="49" fontId="150" fillId="0" borderId="1" xfId="15" applyFont="1" applyBorder="1" applyAlignment="1">
      <alignment horizontal="left" vertical="center" wrapText="1" indent="2"/>
    </xf>
    <xf numFmtId="49" fontId="160" fillId="0" borderId="1" xfId="15" applyFont="1" applyBorder="1" applyAlignment="1">
      <alignment horizontal="left" vertical="center" wrapText="1" indent="4"/>
    </xf>
    <xf numFmtId="0" fontId="153" fillId="0" borderId="40" xfId="15" applyNumberFormat="1" applyFont="1" applyBorder="1" applyAlignment="1">
      <alignment horizontal="center" vertical="center"/>
    </xf>
    <xf numFmtId="0" fontId="153" fillId="0" borderId="41" xfId="15" applyNumberFormat="1" applyFont="1" applyBorder="1" applyAlignment="1">
      <alignment horizontal="center" vertical="center"/>
    </xf>
    <xf numFmtId="0" fontId="153" fillId="0" borderId="48" xfId="15" applyNumberFormat="1" applyFont="1" applyBorder="1" applyAlignment="1">
      <alignment horizontal="center" vertical="center"/>
    </xf>
    <xf numFmtId="0" fontId="150" fillId="0" borderId="1" xfId="15" applyNumberFormat="1" applyFont="1" applyBorder="1" applyAlignment="1">
      <alignment horizontal="center" vertical="center" wrapText="1"/>
    </xf>
    <xf numFmtId="0" fontId="159" fillId="0" borderId="40" xfId="15" applyNumberFormat="1" applyFont="1" applyBorder="1" applyAlignment="1">
      <alignment horizontal="center" vertical="center" wrapText="1"/>
    </xf>
    <xf numFmtId="0" fontId="159" fillId="0" borderId="41" xfId="15" applyNumberFormat="1" applyFont="1" applyBorder="1" applyAlignment="1">
      <alignment horizontal="center" vertical="center" wrapText="1"/>
    </xf>
    <xf numFmtId="0" fontId="159" fillId="0" borderId="48" xfId="15" applyNumberFormat="1" applyFont="1" applyBorder="1" applyAlignment="1">
      <alignment horizontal="center" vertical="center" wrapText="1"/>
    </xf>
    <xf numFmtId="49" fontId="159" fillId="0" borderId="1" xfId="15" applyFont="1" applyBorder="1" applyAlignment="1">
      <alignment horizontal="center" vertical="center"/>
    </xf>
    <xf numFmtId="170" fontId="150" fillId="16" borderId="1" xfId="0" applyNumberFormat="1" applyFont="1" applyFill="1" applyBorder="1" applyAlignment="1">
      <alignment horizontal="center" vertical="center" wrapText="1"/>
    </xf>
    <xf numFmtId="10" fontId="150" fillId="16" borderId="1" xfId="37" applyNumberFormat="1" applyFont="1" applyFill="1" applyBorder="1" applyAlignment="1">
      <alignment horizontal="center" vertical="center" wrapText="1"/>
    </xf>
    <xf numFmtId="0" fontId="160" fillId="0" borderId="1" xfId="0" applyFont="1" applyBorder="1" applyAlignment="1">
      <alignment horizontal="center" vertical="center" wrapText="1"/>
    </xf>
    <xf numFmtId="0" fontId="159" fillId="0" borderId="40" xfId="0" applyFont="1" applyBorder="1" applyAlignment="1">
      <alignment horizontal="left" vertical="center" wrapText="1"/>
    </xf>
    <xf numFmtId="0" fontId="159" fillId="0" borderId="41" xfId="0" applyFont="1" applyBorder="1" applyAlignment="1">
      <alignment horizontal="left" vertical="center" wrapText="1"/>
    </xf>
    <xf numFmtId="0" fontId="159" fillId="0" borderId="48" xfId="0" applyFont="1" applyBorder="1" applyAlignment="1">
      <alignment horizontal="left" vertical="center" wrapText="1"/>
    </xf>
    <xf numFmtId="49" fontId="170" fillId="0" borderId="1" xfId="15" applyFont="1" applyBorder="1" applyAlignment="1">
      <alignment horizontal="right" vertical="center"/>
    </xf>
    <xf numFmtId="49" fontId="134" fillId="0" borderId="1" xfId="15" applyFont="1" applyBorder="1" applyAlignment="1">
      <alignment horizontal="left" vertical="center" wrapText="1"/>
    </xf>
    <xf numFmtId="0" fontId="134" fillId="28" borderId="1" xfId="15" applyNumberFormat="1" applyFont="1" applyFill="1" applyBorder="1" applyAlignment="1">
      <alignment horizontal="center" vertical="center" wrapText="1"/>
    </xf>
    <xf numFmtId="1" fontId="134" fillId="28" borderId="1" xfId="15" applyNumberFormat="1" applyFont="1" applyFill="1" applyBorder="1" applyAlignment="1">
      <alignment horizontal="center" vertical="center" wrapText="1"/>
    </xf>
    <xf numFmtId="167" fontId="136" fillId="15" borderId="0" xfId="15" applyNumberFormat="1" applyFont="1" applyFill="1" applyAlignment="1">
      <alignment horizontal="center" vertical="center" wrapText="1"/>
    </xf>
    <xf numFmtId="167" fontId="134" fillId="15" borderId="0" xfId="15" applyNumberFormat="1" applyFont="1" applyFill="1" applyAlignment="1">
      <alignment horizontal="center" vertical="center" wrapText="1"/>
    </xf>
    <xf numFmtId="49" fontId="137" fillId="28" borderId="0" xfId="15" applyNumberFormat="1" applyFont="1" applyFill="1" applyAlignment="1">
      <alignment horizontal="center" vertical="center" wrapText="1"/>
    </xf>
    <xf numFmtId="167" fontId="139" fillId="15" borderId="0" xfId="15" applyNumberFormat="1" applyFont="1" applyFill="1" applyAlignment="1">
      <alignment horizontal="center" vertical="center" wrapText="1"/>
    </xf>
    <xf numFmtId="167" fontId="134" fillId="15" borderId="0" xfId="15" applyNumberFormat="1" applyFont="1" applyFill="1" applyBorder="1" applyAlignment="1">
      <alignment horizontal="center" vertical="center" wrapText="1"/>
    </xf>
    <xf numFmtId="167" fontId="141" fillId="15" borderId="0" xfId="15" applyNumberFormat="1" applyFont="1" applyFill="1" applyBorder="1" applyAlignment="1">
      <alignment horizontal="left" vertical="center" wrapText="1"/>
    </xf>
    <xf numFmtId="167" fontId="134" fillId="15" borderId="0" xfId="15" applyNumberFormat="1" applyFont="1" applyFill="1" applyBorder="1" applyAlignment="1">
      <alignment vertical="center" wrapText="1"/>
    </xf>
    <xf numFmtId="167" fontId="134" fillId="15" borderId="1" xfId="15" applyNumberFormat="1" applyFont="1" applyFill="1" applyBorder="1" applyAlignment="1">
      <alignment horizontal="center" vertical="center" wrapText="1"/>
    </xf>
    <xf numFmtId="167" fontId="134" fillId="15" borderId="40" xfId="15" applyNumberFormat="1" applyFont="1" applyFill="1" applyBorder="1" applyAlignment="1">
      <alignment horizontal="center" vertical="center" wrapText="1"/>
    </xf>
    <xf numFmtId="167" fontId="134" fillId="15" borderId="41" xfId="15" applyNumberFormat="1" applyFont="1" applyFill="1" applyBorder="1" applyAlignment="1">
      <alignment horizontal="center" vertical="center" wrapText="1"/>
    </xf>
    <xf numFmtId="167" fontId="134" fillId="15" borderId="48" xfId="15" applyNumberFormat="1" applyFont="1" applyFill="1" applyBorder="1" applyAlignment="1">
      <alignment horizontal="center" vertical="center" wrapText="1"/>
    </xf>
    <xf numFmtId="167" fontId="141" fillId="15" borderId="56" xfId="15" applyNumberFormat="1" applyFont="1" applyFill="1" applyBorder="1" applyAlignment="1">
      <alignment horizontal="left" vertical="center" wrapText="1"/>
    </xf>
    <xf numFmtId="167" fontId="142" fillId="15" borderId="0" xfId="15" applyNumberFormat="1" applyFont="1" applyFill="1" applyBorder="1" applyAlignment="1">
      <alignment horizontal="left" vertical="center" wrapText="1"/>
    </xf>
    <xf numFmtId="167" fontId="134" fillId="28" borderId="40" xfId="15" applyNumberFormat="1" applyFont="1" applyFill="1" applyBorder="1" applyAlignment="1">
      <alignment horizontal="center" vertical="center" wrapText="1"/>
    </xf>
    <xf numFmtId="167" fontId="134" fillId="28" borderId="48" xfId="15" applyNumberFormat="1" applyFont="1" applyFill="1" applyBorder="1" applyAlignment="1">
      <alignment horizontal="center" vertical="center" wrapText="1"/>
    </xf>
    <xf numFmtId="167" fontId="134" fillId="28" borderId="41" xfId="15" applyNumberFormat="1" applyFont="1" applyFill="1" applyBorder="1" applyAlignment="1">
      <alignment horizontal="center" vertical="center" wrapText="1"/>
    </xf>
    <xf numFmtId="167" fontId="134" fillId="21" borderId="0" xfId="15" applyNumberFormat="1" applyFont="1" applyFill="1" applyBorder="1" applyAlignment="1">
      <alignment horizontal="center" vertical="center" wrapText="1"/>
    </xf>
    <xf numFmtId="167" fontId="134" fillId="21" borderId="40" xfId="15" applyNumberFormat="1" applyFont="1" applyFill="1" applyBorder="1" applyAlignment="1">
      <alignment horizontal="center" vertical="center" wrapText="1"/>
    </xf>
    <xf numFmtId="167" fontId="134" fillId="21" borderId="41" xfId="15" applyNumberFormat="1" applyFont="1" applyFill="1" applyBorder="1" applyAlignment="1">
      <alignment horizontal="center" vertical="center" wrapText="1"/>
    </xf>
    <xf numFmtId="167" fontId="134" fillId="21" borderId="48" xfId="15" applyNumberFormat="1" applyFont="1" applyFill="1" applyBorder="1" applyAlignment="1">
      <alignment horizontal="center" vertical="center" wrapText="1"/>
    </xf>
    <xf numFmtId="167" fontId="134" fillId="21" borderId="1" xfId="15" applyNumberFormat="1" applyFont="1" applyFill="1" applyBorder="1" applyAlignment="1">
      <alignment horizontal="center" vertical="center" wrapText="1"/>
    </xf>
    <xf numFmtId="167" fontId="157" fillId="5" borderId="0" xfId="15" applyNumberFormat="1" applyFont="1" applyFill="1" applyAlignment="1">
      <alignment horizontal="center" vertical="center" wrapText="1"/>
    </xf>
    <xf numFmtId="49" fontId="150" fillId="15" borderId="1" xfId="15" applyFont="1" applyFill="1" applyBorder="1" applyAlignment="1">
      <alignment horizontal="center" vertical="center" wrapText="1"/>
    </xf>
    <xf numFmtId="49" fontId="145" fillId="15" borderId="1" xfId="15" applyFont="1" applyFill="1" applyBorder="1" applyAlignment="1">
      <alignment horizontal="center" vertical="center" wrapText="1"/>
    </xf>
    <xf numFmtId="49" fontId="145" fillId="0" borderId="1" xfId="15" applyFont="1" applyBorder="1" applyAlignment="1">
      <alignment horizontal="center" vertical="center" wrapText="1"/>
    </xf>
    <xf numFmtId="0" fontId="155" fillId="0" borderId="1" xfId="35" applyNumberFormat="1" applyFont="1" applyBorder="1" applyAlignment="1">
      <alignment horizontal="center" vertical="center" wrapText="1"/>
    </xf>
    <xf numFmtId="0" fontId="145" fillId="0" borderId="40" xfId="15" applyNumberFormat="1" applyFont="1" applyBorder="1" applyAlignment="1">
      <alignment horizontal="center" vertical="center" wrapText="1"/>
    </xf>
    <xf numFmtId="0" fontId="145" fillId="0" borderId="48" xfId="15" applyNumberFormat="1" applyFont="1" applyBorder="1" applyAlignment="1">
      <alignment horizontal="center" vertical="center" wrapText="1"/>
    </xf>
    <xf numFmtId="0" fontId="155" fillId="0" borderId="40" xfId="35" applyNumberFormat="1" applyFont="1" applyBorder="1" applyAlignment="1">
      <alignment horizontal="center" vertical="center" wrapText="1"/>
    </xf>
    <xf numFmtId="0" fontId="155" fillId="0" borderId="41" xfId="35" applyNumberFormat="1" applyFont="1" applyBorder="1" applyAlignment="1">
      <alignment horizontal="center" vertical="center" wrapText="1"/>
    </xf>
    <xf numFmtId="0" fontId="155" fillId="0" borderId="48" xfId="35" applyNumberFormat="1" applyFont="1" applyBorder="1" applyAlignment="1">
      <alignment horizontal="center" vertical="center" wrapText="1"/>
    </xf>
    <xf numFmtId="49" fontId="150" fillId="0" borderId="1" xfId="15" applyFont="1" applyBorder="1" applyAlignment="1">
      <alignment horizontal="left" vertical="center" wrapText="1" indent="1"/>
    </xf>
    <xf numFmtId="49" fontId="150" fillId="0" borderId="1" xfId="15" applyFont="1" applyBorder="1" applyAlignment="1">
      <alignment horizontal="center" vertical="center"/>
    </xf>
    <xf numFmtId="49" fontId="150" fillId="0" borderId="1" xfId="15" applyFont="1" applyBorder="1" applyAlignment="1">
      <alignment vertical="center" wrapText="1"/>
    </xf>
    <xf numFmtId="49" fontId="150" fillId="0" borderId="39" xfId="15" applyFont="1" applyBorder="1" applyAlignment="1">
      <alignment horizontal="center" vertical="center" wrapText="1"/>
    </xf>
    <xf numFmtId="49" fontId="150" fillId="0" borderId="43" xfId="15" applyFont="1" applyBorder="1" applyAlignment="1">
      <alignment horizontal="center" vertical="center" wrapText="1"/>
    </xf>
    <xf numFmtId="49" fontId="145" fillId="0" borderId="39" xfId="15" applyFont="1" applyBorder="1" applyAlignment="1">
      <alignment horizontal="center" vertical="center" wrapText="1"/>
    </xf>
    <xf numFmtId="49" fontId="145" fillId="0" borderId="43" xfId="15" applyFont="1" applyBorder="1" applyAlignment="1">
      <alignment horizontal="center" vertical="center" wrapText="1"/>
    </xf>
    <xf numFmtId="1" fontId="145" fillId="0" borderId="40" xfId="15" applyNumberFormat="1" applyFont="1" applyBorder="1" applyAlignment="1">
      <alignment horizontal="center" vertical="center" wrapText="1"/>
    </xf>
    <xf numFmtId="1" fontId="145" fillId="0" borderId="41" xfId="15" applyNumberFormat="1" applyFont="1" applyBorder="1" applyAlignment="1">
      <alignment horizontal="center" vertical="center" wrapText="1"/>
    </xf>
    <xf numFmtId="1" fontId="145" fillId="0" borderId="48" xfId="15" applyNumberFormat="1" applyFont="1" applyBorder="1" applyAlignment="1">
      <alignment horizontal="center" vertical="center" wrapText="1"/>
    </xf>
    <xf numFmtId="49" fontId="145" fillId="0" borderId="1" xfId="15" applyFont="1" applyBorder="1" applyAlignment="1">
      <alignment horizontal="center" vertical="center"/>
    </xf>
    <xf numFmtId="49" fontId="146" fillId="0" borderId="1" xfId="15" applyFont="1" applyBorder="1" applyAlignment="1">
      <alignment horizontal="center" vertical="center" wrapText="1"/>
    </xf>
    <xf numFmtId="49" fontId="150" fillId="0" borderId="1" xfId="15" applyFont="1" applyBorder="1" applyAlignment="1">
      <alignment horizontal="right" vertical="center" wrapText="1"/>
    </xf>
    <xf numFmtId="49" fontId="150" fillId="0" borderId="40" xfId="15" applyFont="1" applyBorder="1" applyAlignment="1">
      <alignment horizontal="left" vertical="center" wrapText="1"/>
    </xf>
    <xf numFmtId="49" fontId="150" fillId="0" borderId="41" xfId="15" applyFont="1" applyBorder="1" applyAlignment="1">
      <alignment horizontal="left" vertical="center" wrapText="1"/>
    </xf>
    <xf numFmtId="49" fontId="150" fillId="0" borderId="48" xfId="15" applyFont="1" applyBorder="1" applyAlignment="1">
      <alignment horizontal="left" vertical="center" wrapText="1"/>
    </xf>
    <xf numFmtId="49" fontId="148" fillId="0" borderId="1" xfId="15" applyFont="1" applyBorder="1" applyAlignment="1">
      <alignment horizontal="left" vertical="center" wrapText="1"/>
    </xf>
    <xf numFmtId="49" fontId="165" fillId="0" borderId="1" xfId="15" applyFont="1" applyBorder="1" applyAlignment="1">
      <alignment horizontal="center" vertical="center" wrapText="1"/>
    </xf>
    <xf numFmtId="49" fontId="146" fillId="22" borderId="1" xfId="15" applyFont="1" applyFill="1" applyBorder="1" applyAlignment="1">
      <alignment horizontal="center" vertical="center" wrapText="1"/>
    </xf>
    <xf numFmtId="0" fontId="150" fillId="0" borderId="39" xfId="15" applyNumberFormat="1" applyFont="1" applyBorder="1" applyAlignment="1">
      <alignment horizontal="center" vertical="center" wrapText="1"/>
    </xf>
    <xf numFmtId="0" fontId="150" fillId="0" borderId="42" xfId="15" applyNumberFormat="1" applyFont="1" applyBorder="1" applyAlignment="1">
      <alignment horizontal="center" vertical="center" wrapText="1"/>
    </xf>
    <xf numFmtId="0" fontId="150" fillId="0" borderId="43" xfId="15" applyNumberFormat="1" applyFont="1" applyBorder="1" applyAlignment="1">
      <alignment horizontal="center" vertical="center" wrapText="1"/>
    </xf>
    <xf numFmtId="49" fontId="148" fillId="5" borderId="1" xfId="15" applyFont="1" applyFill="1" applyBorder="1" applyAlignment="1">
      <alignment horizontal="center" vertical="center" wrapText="1"/>
    </xf>
    <xf numFmtId="49" fontId="152" fillId="21" borderId="1" xfId="15" applyFont="1" applyFill="1" applyBorder="1" applyAlignment="1">
      <alignment vertical="center"/>
    </xf>
    <xf numFmtId="49" fontId="150" fillId="21" borderId="1" xfId="15" applyFont="1" applyFill="1" applyBorder="1" applyAlignment="1">
      <alignment horizontal="center" vertical="center"/>
    </xf>
    <xf numFmtId="167" fontId="164" fillId="28" borderId="39" xfId="15" applyNumberFormat="1" applyFont="1" applyFill="1" applyBorder="1" applyAlignment="1">
      <alignment horizontal="center" vertical="center" wrapText="1"/>
    </xf>
    <xf numFmtId="167" fontId="164" fillId="28" borderId="43" xfId="15" applyNumberFormat="1" applyFont="1" applyFill="1" applyBorder="1" applyAlignment="1">
      <alignment horizontal="center" vertical="center" wrapText="1"/>
    </xf>
    <xf numFmtId="167" fontId="150" fillId="28" borderId="39" xfId="36" applyNumberFormat="1" applyFont="1" applyFill="1" applyBorder="1" applyAlignment="1">
      <alignment horizontal="center" vertical="center" wrapText="1"/>
    </xf>
    <xf numFmtId="167" fontId="150" fillId="28" borderId="43" xfId="36" applyNumberFormat="1" applyFont="1" applyFill="1" applyBorder="1" applyAlignment="1">
      <alignment horizontal="center" vertical="center" wrapText="1"/>
    </xf>
    <xf numFmtId="167" fontId="150" fillId="28" borderId="39" xfId="15" applyNumberFormat="1" applyFont="1" applyFill="1" applyBorder="1" applyAlignment="1">
      <alignment horizontal="center" vertical="center" wrapText="1"/>
    </xf>
    <xf numFmtId="167" fontId="150" fillId="28" borderId="43" xfId="15" applyNumberFormat="1" applyFont="1" applyFill="1" applyBorder="1" applyAlignment="1">
      <alignment horizontal="center" vertical="center" wrapText="1"/>
    </xf>
    <xf numFmtId="167" fontId="145" fillId="28" borderId="1" xfId="15" applyNumberFormat="1" applyFont="1" applyFill="1" applyBorder="1" applyAlignment="1">
      <alignment horizontal="center" vertical="center" wrapText="1"/>
    </xf>
    <xf numFmtId="49" fontId="148" fillId="0" borderId="1" xfId="15" applyFont="1" applyBorder="1" applyAlignment="1">
      <alignment horizontal="center" vertical="center" wrapText="1"/>
    </xf>
    <xf numFmtId="49" fontId="145" fillId="0" borderId="1" xfId="15" applyFont="1" applyBorder="1" applyAlignment="1">
      <alignment horizontal="left" vertical="center" wrapText="1"/>
    </xf>
    <xf numFmtId="167" fontId="150" fillId="0" borderId="40" xfId="15" applyNumberFormat="1" applyFont="1" applyBorder="1" applyAlignment="1">
      <alignment horizontal="left" vertical="center" wrapText="1"/>
    </xf>
    <xf numFmtId="167" fontId="150" fillId="0" borderId="1" xfId="15" applyNumberFormat="1" applyFont="1" applyBorder="1" applyAlignment="1">
      <alignment horizontal="left" vertical="center" wrapText="1"/>
    </xf>
    <xf numFmtId="49" fontId="160" fillId="21" borderId="1" xfId="15" applyFont="1" applyFill="1" applyBorder="1" applyAlignment="1">
      <alignment horizontal="left" vertical="center" wrapText="1"/>
    </xf>
    <xf numFmtId="49" fontId="170" fillId="0" borderId="1" xfId="15" applyFont="1" applyBorder="1" applyAlignment="1">
      <alignment horizontal="left" vertical="center" wrapText="1"/>
    </xf>
    <xf numFmtId="49" fontId="145" fillId="22" borderId="1" xfId="15" applyFont="1" applyFill="1" applyBorder="1" applyAlignment="1">
      <alignment horizontal="center" vertical="center" wrapText="1"/>
    </xf>
    <xf numFmtId="167" fontId="134" fillId="15" borderId="0" xfId="15" applyNumberFormat="1" applyFont="1" applyFill="1" applyBorder="1" applyAlignment="1">
      <alignment horizontal="left" vertical="center" wrapText="1" indent="2"/>
    </xf>
    <xf numFmtId="49" fontId="152" fillId="21" borderId="1" xfId="15" applyFont="1" applyFill="1" applyBorder="1" applyAlignment="1">
      <alignment horizontal="center" vertical="center" wrapText="1"/>
    </xf>
    <xf numFmtId="49" fontId="163" fillId="21" borderId="1" xfId="15" applyFont="1" applyFill="1" applyBorder="1" applyAlignment="1">
      <alignment horizontal="center" vertical="center"/>
    </xf>
    <xf numFmtId="49" fontId="151" fillId="0" borderId="1" xfId="15" applyFont="1" applyBorder="1" applyAlignment="1">
      <alignment vertical="center" wrapText="1"/>
    </xf>
    <xf numFmtId="0" fontId="20" fillId="0" borderId="2" xfId="0" applyFont="1" applyFill="1" applyBorder="1" applyAlignment="1">
      <alignment horizontal="left" vertical="top" wrapText="1"/>
    </xf>
    <xf numFmtId="0" fontId="20" fillId="0" borderId="0" xfId="0" applyFont="1" applyFill="1" applyBorder="1" applyAlignment="1">
      <alignment horizontal="left" vertical="top" wrapText="1"/>
    </xf>
    <xf numFmtId="0" fontId="25" fillId="7" borderId="1" xfId="0" applyFont="1" applyFill="1" applyBorder="1" applyAlignment="1">
      <alignment horizontal="left"/>
    </xf>
    <xf numFmtId="0" fontId="39" fillId="0" borderId="0" xfId="0" applyFont="1" applyAlignment="1">
      <alignment horizontal="center" vertical="center"/>
    </xf>
    <xf numFmtId="0" fontId="25" fillId="7" borderId="1" xfId="0" applyFont="1" applyFill="1" applyBorder="1" applyAlignment="1">
      <alignment horizontal="left" vertical="center" wrapText="1"/>
    </xf>
    <xf numFmtId="167" fontId="194" fillId="15" borderId="49" xfId="0" applyNumberFormat="1" applyFont="1" applyFill="1" applyBorder="1" applyAlignment="1">
      <alignment horizontal="center" wrapText="1"/>
    </xf>
    <xf numFmtId="167" fontId="136" fillId="15" borderId="0" xfId="0" applyNumberFormat="1" applyFont="1" applyFill="1" applyAlignment="1">
      <alignment horizontal="center"/>
    </xf>
    <xf numFmtId="167" fontId="200" fillId="24" borderId="63" xfId="0" applyNumberFormat="1" applyFont="1" applyFill="1" applyBorder="1" applyAlignment="1">
      <alignment horizontal="center" vertical="center"/>
    </xf>
    <xf numFmtId="167" fontId="200" fillId="24" borderId="71" xfId="0" applyNumberFormat="1" applyFont="1" applyFill="1" applyBorder="1" applyAlignment="1">
      <alignment horizontal="center" vertical="center"/>
    </xf>
    <xf numFmtId="167" fontId="200" fillId="24" borderId="67" xfId="0" applyNumberFormat="1" applyFont="1" applyFill="1" applyBorder="1" applyAlignment="1">
      <alignment horizontal="center" vertical="center" wrapText="1"/>
    </xf>
    <xf numFmtId="167" fontId="200" fillId="24" borderId="65" xfId="0" applyNumberFormat="1" applyFont="1" applyFill="1" applyBorder="1" applyAlignment="1">
      <alignment horizontal="center" vertical="center" wrapText="1"/>
    </xf>
    <xf numFmtId="167" fontId="200" fillId="24" borderId="68" xfId="0" applyNumberFormat="1" applyFont="1" applyFill="1" applyBorder="1" applyAlignment="1">
      <alignment horizontal="center" vertical="center" wrapText="1"/>
    </xf>
    <xf numFmtId="167" fontId="202" fillId="26" borderId="103" xfId="0" applyNumberFormat="1" applyFont="1" applyFill="1" applyBorder="1" applyAlignment="1">
      <alignment horizontal="right" vertical="center"/>
    </xf>
    <xf numFmtId="167" fontId="202" fillId="26" borderId="96" xfId="0" applyNumberFormat="1" applyFont="1" applyFill="1" applyBorder="1" applyAlignment="1">
      <alignment horizontal="right" vertical="center"/>
    </xf>
    <xf numFmtId="167" fontId="202" fillId="26" borderId="100" xfId="0" applyNumberFormat="1" applyFont="1" applyFill="1" applyBorder="1" applyAlignment="1">
      <alignment horizontal="right" vertical="center"/>
    </xf>
    <xf numFmtId="167" fontId="198" fillId="15" borderId="0" xfId="0" applyNumberFormat="1" applyFont="1" applyFill="1" applyAlignment="1">
      <alignment horizontal="center" vertical="center"/>
    </xf>
    <xf numFmtId="167" fontId="200" fillId="24" borderId="106" xfId="0" applyNumberFormat="1" applyFont="1" applyFill="1" applyBorder="1" applyAlignment="1">
      <alignment horizontal="center" vertical="center"/>
    </xf>
    <xf numFmtId="167" fontId="200" fillId="24" borderId="70" xfId="0" applyNumberFormat="1" applyFont="1" applyFill="1" applyBorder="1" applyAlignment="1">
      <alignment horizontal="center" vertical="center"/>
    </xf>
    <xf numFmtId="167" fontId="200" fillId="24" borderId="105" xfId="0" applyNumberFormat="1" applyFont="1" applyFill="1" applyBorder="1" applyAlignment="1">
      <alignment horizontal="center" vertical="center" wrapText="1"/>
    </xf>
    <xf numFmtId="167" fontId="200" fillId="24" borderId="57" xfId="0" applyNumberFormat="1" applyFont="1" applyFill="1" applyBorder="1" applyAlignment="1">
      <alignment horizontal="center" vertical="center" wrapText="1"/>
    </xf>
    <xf numFmtId="167" fontId="200" fillId="24" borderId="47" xfId="0" applyNumberFormat="1" applyFont="1" applyFill="1" applyBorder="1" applyAlignment="1">
      <alignment horizontal="center" vertical="center" wrapText="1"/>
    </xf>
    <xf numFmtId="167" fontId="200" fillId="24" borderId="107" xfId="0" applyNumberFormat="1" applyFont="1" applyFill="1" applyBorder="1" applyAlignment="1">
      <alignment horizontal="center" vertical="center"/>
    </xf>
    <xf numFmtId="167" fontId="200" fillId="24" borderId="77" xfId="0" applyNumberFormat="1" applyFont="1" applyFill="1" applyBorder="1" applyAlignment="1">
      <alignment horizontal="center" vertical="center"/>
    </xf>
    <xf numFmtId="167" fontId="203" fillId="26" borderId="103" xfId="0" applyNumberFormat="1" applyFont="1" applyFill="1" applyBorder="1" applyAlignment="1">
      <alignment horizontal="right" vertical="center"/>
    </xf>
    <xf numFmtId="167" fontId="203" fillId="26" borderId="96" xfId="0" applyNumberFormat="1" applyFont="1" applyFill="1" applyBorder="1" applyAlignment="1">
      <alignment horizontal="right" vertical="center"/>
    </xf>
    <xf numFmtId="167" fontId="203" fillId="26" borderId="100" xfId="0" applyNumberFormat="1" applyFont="1" applyFill="1" applyBorder="1" applyAlignment="1">
      <alignment horizontal="right" vertical="center"/>
    </xf>
    <xf numFmtId="167" fontId="200" fillId="24" borderId="6" xfId="0" applyNumberFormat="1" applyFont="1" applyFill="1" applyBorder="1" applyAlignment="1">
      <alignment horizontal="center" vertical="center" wrapText="1"/>
    </xf>
    <xf numFmtId="167" fontId="200" fillId="24" borderId="83" xfId="0" applyNumberFormat="1" applyFont="1" applyFill="1" applyBorder="1" applyAlignment="1">
      <alignment horizontal="center" vertical="center" wrapText="1"/>
    </xf>
    <xf numFmtId="49" fontId="22" fillId="0" borderId="5" xfId="7" applyNumberFormat="1" applyBorder="1" applyAlignment="1" applyProtection="1">
      <alignment horizontal="left" vertical="center" wrapText="1"/>
    </xf>
    <xf numFmtId="0" fontId="30" fillId="0" borderId="5" xfId="9" applyFont="1" applyBorder="1" applyAlignment="1" applyProtection="1">
      <alignment horizontal="right" vertical="center" wrapText="1"/>
    </xf>
    <xf numFmtId="0" fontId="30" fillId="0" borderId="3" xfId="10" applyFont="1" applyFill="1" applyBorder="1" applyAlignment="1" applyProtection="1">
      <alignment horizontal="left" vertical="center" wrapText="1"/>
    </xf>
    <xf numFmtId="0" fontId="17" fillId="0" borderId="7" xfId="11" applyFont="1" applyFill="1" applyBorder="1" applyAlignment="1" applyProtection="1">
      <alignment horizontal="center" vertical="center" wrapText="1"/>
    </xf>
    <xf numFmtId="0" fontId="17" fillId="0" borderId="13" xfId="11" applyFont="1" applyFill="1" applyBorder="1" applyAlignment="1" applyProtection="1">
      <alignment horizontal="center" vertical="center" wrapText="1"/>
    </xf>
    <xf numFmtId="0" fontId="17" fillId="0" borderId="18" xfId="11" applyFont="1" applyFill="1" applyBorder="1" applyAlignment="1" applyProtection="1">
      <alignment horizontal="center" vertical="center" wrapText="1"/>
    </xf>
    <xf numFmtId="0" fontId="5" fillId="0" borderId="7" xfId="11" applyFont="1" applyBorder="1" applyAlignment="1" applyProtection="1">
      <alignment horizontal="center" vertical="center" wrapText="1"/>
    </xf>
    <xf numFmtId="0" fontId="5" fillId="0" borderId="13" xfId="11" applyFont="1" applyBorder="1" applyAlignment="1" applyProtection="1">
      <alignment horizontal="center" vertical="center" wrapText="1"/>
    </xf>
    <xf numFmtId="0" fontId="5" fillId="0" borderId="18" xfId="11" applyFont="1" applyBorder="1" applyAlignment="1" applyProtection="1">
      <alignment horizontal="center" vertical="center" wrapText="1"/>
    </xf>
    <xf numFmtId="0" fontId="32" fillId="0" borderId="7" xfId="8" applyNumberFormat="1" applyFont="1" applyBorder="1" applyAlignment="1" applyProtection="1">
      <alignment horizontal="center" vertical="center"/>
    </xf>
    <xf numFmtId="0" fontId="32" fillId="0" borderId="13" xfId="8" applyNumberFormat="1" applyFont="1" applyBorder="1" applyAlignment="1" applyProtection="1">
      <alignment horizontal="center" vertical="center"/>
    </xf>
    <xf numFmtId="0" fontId="32" fillId="0" borderId="18" xfId="8" applyNumberFormat="1" applyFont="1" applyBorder="1" applyAlignment="1" applyProtection="1">
      <alignment horizontal="center" vertical="center"/>
    </xf>
    <xf numFmtId="0" fontId="5" fillId="8" borderId="7" xfId="11" applyFont="1" applyFill="1" applyBorder="1" applyAlignment="1" applyProtection="1">
      <alignment horizontal="center" vertical="center" wrapText="1"/>
    </xf>
    <xf numFmtId="0" fontId="5" fillId="8" borderId="13" xfId="11" applyFont="1" applyFill="1" applyBorder="1" applyAlignment="1" applyProtection="1">
      <alignment horizontal="center" vertical="center" wrapText="1"/>
    </xf>
    <xf numFmtId="0" fontId="5" fillId="8" borderId="18" xfId="11" applyFont="1" applyFill="1" applyBorder="1" applyAlignment="1" applyProtection="1">
      <alignment horizontal="center" vertical="center" wrapText="1"/>
    </xf>
    <xf numFmtId="0" fontId="32" fillId="8" borderId="7" xfId="8" applyFont="1" applyFill="1" applyBorder="1" applyAlignment="1" applyProtection="1">
      <alignment horizontal="center" vertical="center"/>
    </xf>
    <xf numFmtId="0" fontId="32" fillId="8" borderId="13" xfId="8" applyFont="1" applyFill="1" applyBorder="1" applyAlignment="1" applyProtection="1">
      <alignment horizontal="center" vertical="center"/>
    </xf>
    <xf numFmtId="0" fontId="32" fillId="8" borderId="19" xfId="8" applyFont="1" applyFill="1" applyBorder="1" applyAlignment="1" applyProtection="1">
      <alignment horizontal="center" vertical="center"/>
    </xf>
    <xf numFmtId="0" fontId="5" fillId="0" borderId="11" xfId="11" applyFont="1" applyFill="1" applyBorder="1" applyAlignment="1" applyProtection="1">
      <alignment horizontal="center" vertical="center" wrapText="1"/>
    </xf>
    <xf numFmtId="0" fontId="5" fillId="0" borderId="9" xfId="11" applyFont="1" applyFill="1" applyBorder="1" applyAlignment="1" applyProtection="1">
      <alignment horizontal="center" vertical="center" wrapText="1"/>
    </xf>
    <xf numFmtId="0" fontId="5" fillId="0" borderId="15" xfId="11" applyFont="1" applyFill="1" applyBorder="1" applyAlignment="1" applyProtection="1">
      <alignment horizontal="center" vertical="center" wrapText="1"/>
    </xf>
    <xf numFmtId="0" fontId="5" fillId="0" borderId="0" xfId="11" applyFont="1" applyFill="1" applyBorder="1" applyAlignment="1" applyProtection="1">
      <alignment horizontal="center" vertical="center" wrapText="1"/>
    </xf>
    <xf numFmtId="0" fontId="5" fillId="0" borderId="5" xfId="11" applyFont="1" applyFill="1" applyBorder="1" applyAlignment="1" applyProtection="1">
      <alignment horizontal="center" vertical="center" wrapText="1"/>
    </xf>
    <xf numFmtId="0" fontId="5" fillId="0" borderId="26" xfId="8" applyFont="1" applyBorder="1" applyAlignment="1" applyProtection="1">
      <alignment horizontal="center" vertical="center"/>
    </xf>
    <xf numFmtId="0" fontId="5" fillId="0" borderId="18" xfId="8" applyFont="1" applyBorder="1" applyAlignment="1" applyProtection="1">
      <alignment horizontal="center" vertical="center"/>
    </xf>
    <xf numFmtId="0" fontId="5" fillId="0" borderId="12" xfId="11" applyFont="1" applyFill="1" applyBorder="1" applyAlignment="1" applyProtection="1">
      <alignment horizontal="center" vertical="center" wrapText="1"/>
    </xf>
    <xf numFmtId="0" fontId="5" fillId="9" borderId="11" xfId="11" applyFont="1" applyFill="1" applyBorder="1" applyAlignment="1" applyProtection="1">
      <alignment horizontal="center" vertical="center" wrapText="1"/>
    </xf>
    <xf numFmtId="0" fontId="5" fillId="9" borderId="12" xfId="11" applyFont="1" applyFill="1" applyBorder="1" applyAlignment="1" applyProtection="1">
      <alignment horizontal="center" vertical="center" wrapText="1"/>
    </xf>
    <xf numFmtId="49" fontId="5" fillId="8" borderId="7" xfId="8" applyNumberFormat="1" applyFont="1" applyFill="1" applyBorder="1" applyAlignment="1" applyProtection="1">
      <alignment horizontal="center" vertical="center" wrapText="1"/>
    </xf>
    <xf numFmtId="49" fontId="5" fillId="8" borderId="13" xfId="8" applyNumberFormat="1" applyFont="1" applyFill="1" applyBorder="1" applyAlignment="1" applyProtection="1">
      <alignment horizontal="center" vertical="center" wrapText="1"/>
    </xf>
    <xf numFmtId="49" fontId="5" fillId="8" borderId="18" xfId="8" applyNumberFormat="1" applyFont="1" applyFill="1" applyBorder="1" applyAlignment="1" applyProtection="1">
      <alignment horizontal="center" vertical="center" wrapText="1"/>
    </xf>
    <xf numFmtId="0" fontId="5" fillId="0" borderId="20" xfId="8" applyFont="1" applyBorder="1" applyAlignment="1" applyProtection="1">
      <alignment horizontal="center" vertical="center"/>
    </xf>
    <xf numFmtId="0" fontId="5" fillId="0" borderId="22" xfId="8" applyFont="1" applyBorder="1" applyAlignment="1" applyProtection="1">
      <alignment horizontal="center" vertical="center"/>
    </xf>
    <xf numFmtId="0" fontId="5" fillId="0" borderId="21" xfId="8" applyFont="1" applyBorder="1" applyAlignment="1" applyProtection="1">
      <alignment horizontal="center" vertical="center"/>
    </xf>
    <xf numFmtId="0" fontId="5" fillId="0" borderId="23" xfId="8" applyFont="1" applyFill="1" applyBorder="1" applyAlignment="1" applyProtection="1">
      <alignment horizontal="center" vertical="center"/>
    </xf>
    <xf numFmtId="0" fontId="5" fillId="0" borderId="24" xfId="8" applyFont="1" applyFill="1" applyBorder="1" applyAlignment="1" applyProtection="1">
      <alignment horizontal="center" vertical="center"/>
    </xf>
    <xf numFmtId="0" fontId="5" fillId="0" borderId="7" xfId="8" applyFont="1" applyFill="1" applyBorder="1" applyAlignment="1" applyProtection="1">
      <alignment horizontal="center" vertical="center"/>
    </xf>
    <xf numFmtId="0" fontId="5" fillId="0" borderId="18" xfId="8" applyFont="1" applyFill="1" applyBorder="1" applyAlignment="1" applyProtection="1">
      <alignment horizontal="center" vertical="center"/>
    </xf>
    <xf numFmtId="0" fontId="5" fillId="0" borderId="25" xfId="8" applyFont="1" applyFill="1" applyBorder="1" applyAlignment="1" applyProtection="1">
      <alignment horizontal="center" vertical="center"/>
    </xf>
    <xf numFmtId="0" fontId="5" fillId="0" borderId="23" xfId="8" applyFont="1" applyBorder="1" applyAlignment="1" applyProtection="1">
      <alignment horizontal="center" vertical="center"/>
    </xf>
    <xf numFmtId="0" fontId="5" fillId="0" borderId="25" xfId="8" applyFont="1" applyBorder="1" applyAlignment="1" applyProtection="1">
      <alignment horizontal="center" vertical="center"/>
    </xf>
    <xf numFmtId="0" fontId="5" fillId="0" borderId="24" xfId="8" applyFont="1" applyBorder="1" applyAlignment="1" applyProtection="1">
      <alignment horizontal="center" vertical="center"/>
    </xf>
    <xf numFmtId="0" fontId="5" fillId="0" borderId="8" xfId="11" applyFont="1" applyBorder="1" applyAlignment="1" applyProtection="1">
      <alignment horizontal="center" vertical="center" wrapText="1"/>
    </xf>
    <xf numFmtId="0" fontId="5" fillId="0" borderId="14" xfId="11" applyFont="1" applyBorder="1" applyAlignment="1" applyProtection="1">
      <alignment horizontal="center" vertical="center" wrapText="1"/>
    </xf>
    <xf numFmtId="0" fontId="5" fillId="9" borderId="9" xfId="11" applyFont="1" applyFill="1" applyBorder="1" applyAlignment="1" applyProtection="1">
      <alignment horizontal="center" vertical="center" wrapText="1"/>
    </xf>
    <xf numFmtId="0" fontId="5" fillId="0" borderId="10" xfId="11" applyFont="1" applyBorder="1" applyAlignment="1" applyProtection="1">
      <alignment horizontal="center" vertical="center" wrapText="1"/>
    </xf>
    <xf numFmtId="0" fontId="5" fillId="0" borderId="9" xfId="11" applyFont="1" applyBorder="1" applyAlignment="1" applyProtection="1">
      <alignment horizontal="center" vertical="center" wrapText="1"/>
    </xf>
    <xf numFmtId="0" fontId="5" fillId="0" borderId="4" xfId="11" applyFont="1" applyFill="1" applyBorder="1" applyAlignment="1" applyProtection="1">
      <alignment horizontal="center" vertical="center" wrapText="1"/>
    </xf>
    <xf numFmtId="0" fontId="5" fillId="0" borderId="7" xfId="8" applyFont="1" applyBorder="1" applyAlignment="1" applyProtection="1">
      <alignment horizontal="center" vertical="center"/>
    </xf>
    <xf numFmtId="0" fontId="5" fillId="0" borderId="13" xfId="8" applyFont="1" applyBorder="1" applyAlignment="1" applyProtection="1">
      <alignment horizontal="center" vertical="center"/>
    </xf>
    <xf numFmtId="0" fontId="5" fillId="0" borderId="16" xfId="8" applyFont="1" applyBorder="1" applyAlignment="1" applyProtection="1">
      <alignment horizontal="center" vertical="center"/>
    </xf>
    <xf numFmtId="0" fontId="5" fillId="0" borderId="17" xfId="8" applyFont="1" applyBorder="1" applyAlignment="1" applyProtection="1">
      <alignment horizontal="center" vertical="center"/>
    </xf>
    <xf numFmtId="0" fontId="5" fillId="0" borderId="19" xfId="8" applyFont="1" applyBorder="1" applyAlignment="1" applyProtection="1">
      <alignment horizontal="center" vertical="center"/>
    </xf>
    <xf numFmtId="0" fontId="33" fillId="0" borderId="20" xfId="8" applyFont="1" applyBorder="1" applyAlignment="1" applyProtection="1">
      <alignment horizontal="center" vertical="center"/>
    </xf>
    <xf numFmtId="0" fontId="33" fillId="0" borderId="22" xfId="8" applyFont="1" applyBorder="1" applyAlignment="1" applyProtection="1">
      <alignment horizontal="center" vertical="center"/>
    </xf>
    <xf numFmtId="0" fontId="33" fillId="0" borderId="21" xfId="8" applyFont="1" applyBorder="1" applyAlignment="1" applyProtection="1">
      <alignment horizontal="center" vertical="center"/>
    </xf>
    <xf numFmtId="0" fontId="33" fillId="0" borderId="29" xfId="8" applyFont="1" applyBorder="1" applyAlignment="1" applyProtection="1">
      <alignment horizontal="center" vertical="center"/>
    </xf>
    <xf numFmtId="0" fontId="33" fillId="0" borderId="30" xfId="8" applyFont="1" applyBorder="1" applyAlignment="1" applyProtection="1">
      <alignment horizontal="center" vertical="center"/>
    </xf>
    <xf numFmtId="0" fontId="33" fillId="0" borderId="31" xfId="8" applyFont="1" applyBorder="1" applyAlignment="1" applyProtection="1">
      <alignment horizontal="center" vertical="center"/>
    </xf>
    <xf numFmtId="0" fontId="33" fillId="0" borderId="4" xfId="8" applyFont="1" applyBorder="1" applyAlignment="1" applyProtection="1">
      <alignment horizontal="center" vertical="center"/>
    </xf>
    <xf numFmtId="0" fontId="30" fillId="0" borderId="0" xfId="9" applyFont="1" applyBorder="1" applyAlignment="1" applyProtection="1">
      <alignment horizontal="right" vertical="center" wrapText="1"/>
    </xf>
    <xf numFmtId="49" fontId="17" fillId="0" borderId="32" xfId="11" applyNumberFormat="1" applyFont="1" applyBorder="1" applyAlignment="1" applyProtection="1">
      <alignment horizontal="center" vertical="center" wrapText="1"/>
    </xf>
    <xf numFmtId="49" fontId="17" fillId="0" borderId="34" xfId="11" applyNumberFormat="1" applyFont="1" applyBorder="1" applyAlignment="1" applyProtection="1">
      <alignment horizontal="center" vertical="center" wrapText="1"/>
    </xf>
    <xf numFmtId="49" fontId="17" fillId="0" borderId="36" xfId="11" applyNumberFormat="1" applyFont="1" applyBorder="1" applyAlignment="1" applyProtection="1">
      <alignment horizontal="center" vertical="center" wrapText="1"/>
    </xf>
    <xf numFmtId="49" fontId="17" fillId="0" borderId="32" xfId="8" applyNumberFormat="1" applyFont="1" applyBorder="1" applyAlignment="1" applyProtection="1">
      <alignment horizontal="center" vertical="center" wrapText="1"/>
    </xf>
    <xf numFmtId="49" fontId="17" fillId="0" borderId="34" xfId="8" applyNumberFormat="1" applyFont="1" applyBorder="1" applyAlignment="1" applyProtection="1">
      <alignment horizontal="center" vertical="center" wrapText="1"/>
    </xf>
    <xf numFmtId="49" fontId="17" fillId="0" borderId="36" xfId="8" applyNumberFormat="1" applyFont="1" applyBorder="1" applyAlignment="1" applyProtection="1">
      <alignment horizontal="center" vertical="center" wrapText="1"/>
    </xf>
    <xf numFmtId="49" fontId="17" fillId="0" borderId="33" xfId="11" applyNumberFormat="1" applyFont="1" applyBorder="1" applyAlignment="1" applyProtection="1">
      <alignment horizontal="center" vertical="center" wrapText="1"/>
    </xf>
    <xf numFmtId="49" fontId="17" fillId="0" borderId="35" xfId="11" applyNumberFormat="1" applyFont="1" applyBorder="1" applyAlignment="1" applyProtection="1">
      <alignment horizontal="center" vertical="center" wrapText="1"/>
    </xf>
    <xf numFmtId="0" fontId="5" fillId="0" borderId="16" xfId="11" applyFont="1" applyBorder="1" applyAlignment="1" applyProtection="1">
      <alignment horizontal="center" vertical="center" wrapText="1"/>
    </xf>
    <xf numFmtId="0" fontId="5" fillId="0" borderId="19" xfId="11" applyFont="1" applyBorder="1" applyAlignment="1" applyProtection="1">
      <alignment horizontal="center" vertical="center" wrapText="1"/>
    </xf>
    <xf numFmtId="0" fontId="5" fillId="23" borderId="15" xfId="11" applyFont="1" applyFill="1" applyBorder="1" applyAlignment="1" applyProtection="1">
      <alignment horizontal="center" vertical="center" wrapText="1"/>
    </xf>
    <xf numFmtId="0" fontId="5" fillId="23" borderId="0" xfId="11" applyFont="1" applyFill="1" applyBorder="1" applyAlignment="1" applyProtection="1">
      <alignment horizontal="center" vertical="center" wrapText="1"/>
    </xf>
    <xf numFmtId="0" fontId="5" fillId="23" borderId="5" xfId="11" applyFont="1" applyFill="1" applyBorder="1" applyAlignment="1" applyProtection="1">
      <alignment horizontal="center" vertical="center" wrapText="1"/>
    </xf>
    <xf numFmtId="0" fontId="5" fillId="23" borderId="11" xfId="11" applyFont="1" applyFill="1" applyBorder="1" applyAlignment="1" applyProtection="1">
      <alignment horizontal="center" vertical="center" wrapText="1"/>
    </xf>
    <xf numFmtId="0" fontId="5" fillId="23" borderId="9" xfId="11" applyFont="1" applyFill="1" applyBorder="1" applyAlignment="1" applyProtection="1">
      <alignment horizontal="center" vertical="center" wrapText="1"/>
    </xf>
    <xf numFmtId="49" fontId="5" fillId="0" borderId="4" xfId="8" applyNumberFormat="1" applyFont="1" applyBorder="1" applyAlignment="1" applyProtection="1">
      <alignment horizontal="center" vertical="center" wrapText="1"/>
    </xf>
    <xf numFmtId="49" fontId="5" fillId="0" borderId="4" xfId="8" applyNumberFormat="1" applyFont="1" applyBorder="1" applyAlignment="1" applyProtection="1">
      <alignment horizontal="center" vertical="center"/>
    </xf>
    <xf numFmtId="49" fontId="5" fillId="0" borderId="4" xfId="8" applyNumberFormat="1" applyFont="1" applyBorder="1" applyAlignment="1" applyProtection="1">
      <alignment horizontal="left" vertical="center" wrapText="1"/>
    </xf>
    <xf numFmtId="49" fontId="5" fillId="8" borderId="33" xfId="8" applyNumberFormat="1" applyFont="1" applyFill="1" applyBorder="1" applyAlignment="1" applyProtection="1">
      <alignment horizontal="center" vertical="center" wrapText="1"/>
    </xf>
    <xf numFmtId="49" fontId="5" fillId="8" borderId="35" xfId="8" applyNumberFormat="1" applyFont="1" applyFill="1" applyBorder="1" applyAlignment="1" applyProtection="1">
      <alignment horizontal="center" vertical="center" wrapText="1"/>
    </xf>
    <xf numFmtId="49" fontId="5" fillId="8" borderId="37" xfId="8" applyNumberFormat="1" applyFont="1" applyFill="1" applyBorder="1" applyAlignment="1" applyProtection="1">
      <alignment horizontal="center" vertical="center" wrapText="1"/>
    </xf>
    <xf numFmtId="49" fontId="34" fillId="0" borderId="27" xfId="11" applyNumberFormat="1" applyFont="1" applyFill="1" applyBorder="1" applyAlignment="1" applyProtection="1">
      <alignment horizontal="center" vertical="center" wrapText="1"/>
    </xf>
    <xf numFmtId="49" fontId="34" fillId="0" borderId="3" xfId="11" applyNumberFormat="1" applyFont="1" applyFill="1" applyBorder="1" applyAlignment="1" applyProtection="1">
      <alignment horizontal="center" vertical="center" wrapText="1"/>
    </xf>
    <xf numFmtId="49" fontId="34" fillId="0" borderId="28" xfId="11" applyNumberFormat="1" applyFont="1" applyFill="1" applyBorder="1" applyAlignment="1" applyProtection="1">
      <alignment horizontal="center" vertical="center" wrapText="1"/>
    </xf>
    <xf numFmtId="49" fontId="33" fillId="0" borderId="4" xfId="8" applyNumberFormat="1" applyFont="1" applyBorder="1" applyAlignment="1" applyProtection="1">
      <alignment horizontal="center" vertical="center"/>
    </xf>
    <xf numFmtId="49" fontId="33" fillId="0" borderId="20" xfId="8" applyNumberFormat="1" applyFont="1" applyBorder="1" applyAlignment="1" applyProtection="1">
      <alignment horizontal="left" vertical="center"/>
    </xf>
    <xf numFmtId="49" fontId="33" fillId="0" borderId="22" xfId="8" applyNumberFormat="1" applyFont="1" applyBorder="1" applyAlignment="1" applyProtection="1">
      <alignment horizontal="left" vertical="center"/>
    </xf>
    <xf numFmtId="49" fontId="33" fillId="0" borderId="21" xfId="8" applyNumberFormat="1" applyFont="1" applyBorder="1" applyAlignment="1" applyProtection="1">
      <alignment horizontal="left" vertical="center"/>
    </xf>
    <xf numFmtId="49" fontId="5" fillId="0" borderId="4" xfId="8" applyNumberFormat="1" applyFont="1" applyBorder="1" applyAlignment="1" applyProtection="1">
      <alignment vertical="center" wrapText="1"/>
    </xf>
    <xf numFmtId="0" fontId="38" fillId="15" borderId="0" xfId="17" applyFont="1" applyFill="1" applyAlignment="1" applyProtection="1">
      <alignment horizontal="center" vertical="center" wrapText="1"/>
    </xf>
    <xf numFmtId="0" fontId="38" fillId="15" borderId="0" xfId="17" applyFont="1" applyFill="1" applyBorder="1" applyProtection="1">
      <alignment horizontal="center" vertical="center" wrapText="1"/>
    </xf>
    <xf numFmtId="49" fontId="39" fillId="15" borderId="0" xfId="0" applyNumberFormat="1" applyFont="1" applyFill="1" applyBorder="1" applyAlignment="1" applyProtection="1">
      <alignment wrapText="1"/>
    </xf>
    <xf numFmtId="49" fontId="25" fillId="15" borderId="0" xfId="0" applyNumberFormat="1" applyFont="1" applyFill="1" applyAlignment="1" applyProtection="1">
      <alignment wrapText="1"/>
    </xf>
    <xf numFmtId="0" fontId="38" fillId="23" borderId="0" xfId="17" applyFont="1" applyFill="1" applyAlignment="1" applyProtection="1">
      <alignment horizontal="center" vertical="center" wrapText="1"/>
    </xf>
    <xf numFmtId="4" fontId="25" fillId="15" borderId="0" xfId="18" applyFont="1" applyFill="1" applyBorder="1" applyAlignment="1" applyProtection="1">
      <alignment horizontal="right"/>
    </xf>
    <xf numFmtId="171" fontId="209" fillId="15" borderId="0" xfId="0" applyNumberFormat="1" applyFont="1" applyFill="1" applyBorder="1" applyAlignment="1">
      <alignment horizontal="center" vertical="center"/>
    </xf>
    <xf numFmtId="4" fontId="25" fillId="15" borderId="0" xfId="0" applyNumberFormat="1" applyFont="1" applyFill="1" applyBorder="1" applyAlignment="1" applyProtection="1">
      <alignment horizontal="right"/>
    </xf>
    <xf numFmtId="0" fontId="25" fillId="15" borderId="0" xfId="0" applyFont="1" applyFill="1" applyAlignment="1" applyProtection="1">
      <alignment horizontal="right"/>
    </xf>
    <xf numFmtId="0" fontId="42" fillId="15" borderId="0" xfId="11" applyFont="1" applyFill="1" applyBorder="1" applyAlignment="1" applyProtection="1">
      <alignment horizontal="center" wrapText="1"/>
    </xf>
    <xf numFmtId="0" fontId="24" fillId="5" borderId="39"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49" fontId="24" fillId="5" borderId="39"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49" fontId="24" fillId="5" borderId="43" xfId="0" applyNumberFormat="1" applyFont="1" applyFill="1" applyBorder="1" applyAlignment="1" applyProtection="1">
      <alignment horizontal="center" vertical="center" wrapText="1"/>
    </xf>
    <xf numFmtId="0" fontId="25" fillId="0" borderId="0" xfId="0" applyFont="1" applyAlignment="1" applyProtection="1">
      <alignment horizontal="left" vertical="top" wrapText="1"/>
    </xf>
    <xf numFmtId="0" fontId="43" fillId="0" borderId="0" xfId="17" applyFont="1" applyAlignment="1" applyProtection="1">
      <alignment horizontal="center" vertical="center" wrapText="1"/>
    </xf>
    <xf numFmtId="0" fontId="24" fillId="5" borderId="39" xfId="0" applyNumberFormat="1" applyFont="1" applyFill="1" applyBorder="1" applyAlignment="1" applyProtection="1">
      <alignment horizontal="left" vertical="center" wrapText="1"/>
    </xf>
    <xf numFmtId="0" fontId="24" fillId="5" borderId="42" xfId="0" applyNumberFormat="1" applyFont="1" applyFill="1" applyBorder="1" applyAlignment="1" applyProtection="1">
      <alignment horizontal="left" vertical="center" wrapText="1"/>
    </xf>
    <xf numFmtId="0" fontId="24" fillId="5" borderId="43" xfId="0" applyNumberFormat="1" applyFont="1" applyFill="1" applyBorder="1" applyAlignment="1" applyProtection="1">
      <alignment horizontal="left" vertical="center" wrapText="1"/>
    </xf>
    <xf numFmtId="0" fontId="24" fillId="5" borderId="42" xfId="0" applyNumberFormat="1" applyFont="1" applyFill="1" applyBorder="1" applyAlignment="1" applyProtection="1">
      <alignment horizontal="center" vertical="center" wrapText="1"/>
    </xf>
    <xf numFmtId="0" fontId="24" fillId="5" borderId="40" xfId="0" applyNumberFormat="1" applyFont="1" applyFill="1" applyBorder="1" applyAlignment="1" applyProtection="1">
      <alignment horizontal="center" vertical="center" wrapText="1"/>
    </xf>
    <xf numFmtId="0" fontId="24" fillId="5" borderId="41" xfId="0" applyNumberFormat="1" applyFont="1" applyFill="1" applyBorder="1" applyAlignment="1" applyProtection="1">
      <alignment horizontal="center" vertical="center" wrapText="1"/>
    </xf>
    <xf numFmtId="0" fontId="24" fillId="5" borderId="48"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wrapText="1"/>
    </xf>
    <xf numFmtId="49" fontId="64" fillId="0" borderId="0" xfId="0" applyNumberFormat="1" applyFont="1" applyAlignment="1" applyProtection="1">
      <alignment wrapText="1"/>
    </xf>
    <xf numFmtId="2" fontId="24" fillId="5" borderId="39" xfId="0" applyNumberFormat="1" applyFont="1" applyFill="1" applyBorder="1" applyAlignment="1" applyProtection="1">
      <alignment horizontal="center" vertical="center" wrapText="1"/>
    </xf>
    <xf numFmtId="2" fontId="24" fillId="5" borderId="42" xfId="0" applyNumberFormat="1" applyFont="1" applyFill="1" applyBorder="1" applyAlignment="1" applyProtection="1">
      <alignment horizontal="center" vertical="center" wrapText="1"/>
    </xf>
    <xf numFmtId="49" fontId="24" fillId="5" borderId="40" xfId="0" applyNumberFormat="1" applyFont="1" applyFill="1" applyBorder="1" applyAlignment="1" applyProtection="1">
      <alignment horizontal="center" vertical="center" wrapText="1"/>
    </xf>
    <xf numFmtId="49" fontId="24" fillId="5" borderId="41" xfId="0" applyNumberFormat="1" applyFont="1" applyFill="1" applyBorder="1" applyAlignment="1" applyProtection="1">
      <alignment horizontal="center" vertical="center" wrapText="1"/>
    </xf>
    <xf numFmtId="49" fontId="24" fillId="5" borderId="48" xfId="0" applyNumberFormat="1" applyFont="1" applyFill="1" applyBorder="1" applyAlignment="1" applyProtection="1">
      <alignment horizontal="center" vertical="center" wrapText="1"/>
    </xf>
    <xf numFmtId="49" fontId="43" fillId="0" borderId="0" xfId="0" applyNumberFormat="1" applyFont="1" applyAlignment="1" applyProtection="1">
      <alignment horizontal="center" vertical="center" wrapText="1"/>
    </xf>
    <xf numFmtId="0" fontId="24" fillId="5" borderId="39" xfId="0" applyFont="1" applyFill="1" applyBorder="1" applyAlignment="1" applyProtection="1">
      <alignment horizontal="center" vertical="center"/>
    </xf>
    <xf numFmtId="0" fontId="24" fillId="5" borderId="42" xfId="0" applyFont="1" applyFill="1" applyBorder="1" applyAlignment="1" applyProtection="1">
      <alignment horizontal="center" vertical="center"/>
    </xf>
    <xf numFmtId="0" fontId="24" fillId="5" borderId="43" xfId="0" applyFont="1" applyFill="1" applyBorder="1" applyAlignment="1" applyProtection="1">
      <alignment horizontal="center" vertical="center"/>
    </xf>
    <xf numFmtId="49" fontId="63" fillId="0" borderId="0" xfId="0" applyNumberFormat="1" applyFont="1" applyFill="1" applyBorder="1" applyAlignment="1" applyProtection="1">
      <alignment vertical="top" wrapText="1"/>
    </xf>
    <xf numFmtId="49" fontId="64" fillId="0" borderId="0" xfId="0" applyNumberFormat="1" applyFont="1" applyAlignment="1" applyProtection="1">
      <alignment vertical="top" wrapText="1"/>
    </xf>
    <xf numFmtId="49" fontId="63" fillId="0" borderId="0" xfId="0" applyNumberFormat="1" applyFont="1" applyFill="1" applyBorder="1" applyAlignment="1" applyProtection="1">
      <alignment vertical="top"/>
    </xf>
    <xf numFmtId="49" fontId="64" fillId="0" borderId="0" xfId="0" applyNumberFormat="1" applyFont="1" applyAlignment="1" applyProtection="1">
      <alignment vertical="top"/>
    </xf>
    <xf numFmtId="0" fontId="2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xf>
    <xf numFmtId="0" fontId="23" fillId="0" borderId="0" xfId="17" applyFont="1" applyBorder="1" applyAlignment="1" applyProtection="1">
      <alignment horizontal="center" vertical="center" wrapText="1"/>
    </xf>
    <xf numFmtId="49" fontId="73" fillId="0" borderId="0" xfId="0" applyNumberFormat="1" applyFont="1" applyBorder="1" applyAlignment="1" applyProtection="1">
      <alignment vertical="top"/>
    </xf>
    <xf numFmtId="0" fontId="39" fillId="5" borderId="1" xfId="11" applyFont="1" applyFill="1" applyBorder="1" applyProtection="1">
      <alignment horizontal="center" vertical="center" wrapText="1"/>
    </xf>
    <xf numFmtId="49" fontId="24" fillId="5" borderId="1" xfId="0" applyNumberFormat="1" applyFont="1" applyFill="1" applyBorder="1" applyAlignment="1" applyProtection="1">
      <alignment horizontal="center" vertical="center" wrapText="1"/>
    </xf>
    <xf numFmtId="49" fontId="43" fillId="0" borderId="0" xfId="0" applyNumberFormat="1" applyFont="1" applyAlignment="1" applyProtection="1">
      <alignment horizontal="center" vertical="center"/>
    </xf>
    <xf numFmtId="49" fontId="39" fillId="0" borderId="0" xfId="0" applyNumberFormat="1" applyFont="1" applyFill="1" applyBorder="1" applyAlignment="1" applyProtection="1">
      <alignment vertical="top" wrapText="1"/>
    </xf>
    <xf numFmtId="2" fontId="24" fillId="5" borderId="1" xfId="0" applyNumberFormat="1" applyFont="1" applyFill="1" applyBorder="1" applyAlignment="1" applyProtection="1">
      <alignment horizontal="center" vertical="center" wrapText="1"/>
    </xf>
    <xf numFmtId="0" fontId="77" fillId="0" borderId="0" xfId="0" applyFont="1" applyBorder="1" applyAlignment="1" applyProtection="1">
      <alignment wrapText="1"/>
    </xf>
    <xf numFmtId="0" fontId="25" fillId="0" borderId="0" xfId="0" applyFont="1" applyBorder="1" applyAlignment="1" applyProtection="1">
      <alignment vertical="top"/>
    </xf>
    <xf numFmtId="49" fontId="24" fillId="0" borderId="0" xfId="0" applyNumberFormat="1" applyFont="1" applyFill="1" applyBorder="1" applyAlignment="1" applyProtection="1">
      <alignment horizontal="left" vertical="top" wrapText="1"/>
    </xf>
    <xf numFmtId="0" fontId="38" fillId="0" borderId="0" xfId="17" applyFont="1" applyAlignment="1" applyProtection="1">
      <alignment horizontal="center" vertical="center" wrapText="1"/>
    </xf>
    <xf numFmtId="0" fontId="80" fillId="5" borderId="1" xfId="26" applyFont="1" applyFill="1" applyBorder="1" applyAlignment="1" applyProtection="1">
      <alignment horizontal="center" vertical="center" wrapText="1"/>
    </xf>
    <xf numFmtId="0" fontId="38" fillId="0" borderId="0" xfId="10" applyFont="1" applyFill="1" applyBorder="1" applyAlignment="1" applyProtection="1">
      <alignment horizontal="center" vertical="center" wrapText="1"/>
    </xf>
    <xf numFmtId="0" fontId="80" fillId="5" borderId="1" xfId="27" applyFont="1" applyFill="1" applyBorder="1" applyAlignment="1" applyProtection="1">
      <alignment horizontal="center" vertical="center" wrapText="1"/>
    </xf>
    <xf numFmtId="0" fontId="80" fillId="5" borderId="44" xfId="27" applyFont="1" applyFill="1" applyBorder="1" applyAlignment="1" applyProtection="1">
      <alignment horizontal="center" vertical="center" wrapText="1"/>
    </xf>
    <xf numFmtId="0" fontId="80" fillId="5" borderId="45" xfId="27" applyFont="1" applyFill="1" applyBorder="1" applyAlignment="1" applyProtection="1">
      <alignment horizontal="center" vertical="center" wrapText="1"/>
    </xf>
    <xf numFmtId="0" fontId="80" fillId="5" borderId="2" xfId="27" applyFont="1" applyFill="1" applyBorder="1" applyAlignment="1" applyProtection="1">
      <alignment horizontal="center" vertical="center" wrapText="1"/>
    </xf>
    <xf numFmtId="0" fontId="80" fillId="5" borderId="57" xfId="27" applyFont="1" applyFill="1" applyBorder="1" applyAlignment="1" applyProtection="1">
      <alignment horizontal="center" vertical="center" wrapText="1"/>
    </xf>
    <xf numFmtId="0" fontId="80" fillId="5" borderId="46" xfId="27" applyFont="1" applyFill="1" applyBorder="1" applyAlignment="1" applyProtection="1">
      <alignment horizontal="center" vertical="center" wrapText="1"/>
    </xf>
    <xf numFmtId="0" fontId="80" fillId="5" borderId="47" xfId="27" applyFont="1" applyFill="1" applyBorder="1" applyAlignment="1" applyProtection="1">
      <alignment horizontal="center" vertical="center" wrapText="1"/>
    </xf>
    <xf numFmtId="0" fontId="80" fillId="5" borderId="1" xfId="27" applyFont="1" applyFill="1" applyBorder="1" applyAlignment="1">
      <alignment horizontal="center" vertical="center" wrapText="1"/>
    </xf>
    <xf numFmtId="0" fontId="80" fillId="5" borderId="39" xfId="26" applyFont="1" applyFill="1" applyBorder="1" applyAlignment="1">
      <alignment horizontal="center" vertical="center" wrapText="1"/>
    </xf>
    <xf numFmtId="0" fontId="80" fillId="5" borderId="43" xfId="26" applyFont="1" applyFill="1" applyBorder="1" applyAlignment="1">
      <alignment horizontal="center" vertical="center" wrapText="1"/>
    </xf>
    <xf numFmtId="0" fontId="42" fillId="5" borderId="1" xfId="26" applyFont="1" applyFill="1" applyBorder="1" applyAlignment="1" applyProtection="1">
      <alignment horizontal="center" vertical="center" wrapText="1"/>
    </xf>
    <xf numFmtId="0" fontId="80" fillId="5" borderId="1" xfId="26" applyFont="1" applyFill="1" applyBorder="1" applyAlignment="1">
      <alignment horizontal="center" vertical="center" wrapText="1"/>
    </xf>
    <xf numFmtId="0" fontId="80" fillId="5" borderId="39" xfId="26" applyFont="1" applyFill="1" applyBorder="1" applyAlignment="1" applyProtection="1">
      <alignment horizontal="center" vertical="center" wrapText="1"/>
    </xf>
    <xf numFmtId="0" fontId="80" fillId="5" borderId="42" xfId="26" applyFont="1" applyFill="1" applyBorder="1" applyAlignment="1" applyProtection="1">
      <alignment horizontal="center" vertical="center" wrapText="1"/>
    </xf>
    <xf numFmtId="0" fontId="80" fillId="5" borderId="43" xfId="26" applyFont="1" applyFill="1" applyBorder="1" applyAlignment="1" applyProtection="1">
      <alignment horizontal="center" vertical="center" wrapText="1"/>
    </xf>
    <xf numFmtId="0" fontId="80" fillId="5" borderId="40" xfId="26" applyFont="1" applyFill="1" applyBorder="1" applyAlignment="1" applyProtection="1">
      <alignment horizontal="center" vertical="center" wrapText="1"/>
    </xf>
    <xf numFmtId="0" fontId="80" fillId="5" borderId="41" xfId="26" applyFont="1" applyFill="1" applyBorder="1" applyAlignment="1" applyProtection="1">
      <alignment horizontal="center" vertical="center" wrapText="1"/>
    </xf>
    <xf numFmtId="0" fontId="80" fillId="5" borderId="48" xfId="26"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wrapText="1"/>
    </xf>
    <xf numFmtId="0" fontId="42" fillId="5" borderId="44" xfId="26" applyFont="1" applyFill="1" applyBorder="1" applyAlignment="1" applyProtection="1">
      <alignment horizontal="center" vertical="center" wrapText="1"/>
    </xf>
    <xf numFmtId="0" fontId="42" fillId="5" borderId="56" xfId="26" applyFont="1" applyFill="1" applyBorder="1" applyAlignment="1" applyProtection="1">
      <alignment horizontal="center" vertical="center" wrapText="1"/>
    </xf>
    <xf numFmtId="0" fontId="42" fillId="5" borderId="45" xfId="26" applyFont="1" applyFill="1" applyBorder="1" applyAlignment="1" applyProtection="1">
      <alignment horizontal="center" vertical="center" wrapText="1"/>
    </xf>
    <xf numFmtId="0" fontId="42" fillId="5" borderId="46" xfId="26" applyFont="1" applyFill="1" applyBorder="1" applyAlignment="1" applyProtection="1">
      <alignment horizontal="center" vertical="center" wrapText="1"/>
    </xf>
    <xf numFmtId="0" fontId="42" fillId="5" borderId="49" xfId="26" applyFont="1" applyFill="1" applyBorder="1" applyAlignment="1" applyProtection="1">
      <alignment horizontal="center" vertical="center" wrapText="1"/>
    </xf>
    <xf numFmtId="0" fontId="42" fillId="5" borderId="47" xfId="26" applyFont="1" applyFill="1" applyBorder="1" applyAlignment="1" applyProtection="1">
      <alignment horizontal="center" vertical="center" wrapText="1"/>
    </xf>
    <xf numFmtId="0" fontId="23" fillId="0" borderId="0" xfId="10" applyFont="1" applyFill="1" applyBorder="1" applyAlignment="1" applyProtection="1">
      <alignment horizontal="center" vertical="center" wrapText="1"/>
    </xf>
    <xf numFmtId="0" fontId="80" fillId="5" borderId="44" xfId="27" applyFont="1" applyFill="1" applyBorder="1" applyAlignment="1">
      <alignment horizontal="center" vertical="center" wrapText="1"/>
    </xf>
    <xf numFmtId="0" fontId="80" fillId="5" borderId="45" xfId="27" applyFont="1" applyFill="1" applyBorder="1" applyAlignment="1">
      <alignment horizontal="center" vertical="center" wrapText="1"/>
    </xf>
    <xf numFmtId="0" fontId="80" fillId="5" borderId="2" xfId="27" applyFont="1" applyFill="1" applyBorder="1" applyAlignment="1">
      <alignment horizontal="center" vertical="center" wrapText="1"/>
    </xf>
    <xf numFmtId="0" fontId="80" fillId="5" borderId="57" xfId="27" applyFont="1" applyFill="1" applyBorder="1" applyAlignment="1">
      <alignment horizontal="center" vertical="center" wrapText="1"/>
    </xf>
    <xf numFmtId="0" fontId="80" fillId="5" borderId="46" xfId="27" applyFont="1" applyFill="1" applyBorder="1" applyAlignment="1">
      <alignment horizontal="center" vertical="center" wrapText="1"/>
    </xf>
    <xf numFmtId="0" fontId="80" fillId="5" borderId="47" xfId="27" applyFont="1" applyFill="1" applyBorder="1" applyAlignment="1">
      <alignment horizontal="center" vertical="center" wrapText="1"/>
    </xf>
    <xf numFmtId="49" fontId="38" fillId="0" borderId="0" xfId="0" applyNumberFormat="1" applyFont="1" applyFill="1" applyBorder="1" applyAlignment="1" applyProtection="1">
      <alignment horizontal="left" vertical="center" wrapText="1"/>
    </xf>
    <xf numFmtId="49" fontId="38" fillId="0" borderId="0" xfId="0" applyNumberFormat="1" applyFont="1" applyFill="1" applyBorder="1" applyAlignment="1" applyProtection="1">
      <alignment horizontal="left" vertical="top" wrapText="1"/>
    </xf>
    <xf numFmtId="0" fontId="18" fillId="0" borderId="0" xfId="5" applyAlignment="1" applyProtection="1">
      <alignment horizontal="left" vertical="top"/>
    </xf>
    <xf numFmtId="0" fontId="80" fillId="5" borderId="39" xfId="27" applyFont="1" applyFill="1" applyBorder="1" applyAlignment="1" applyProtection="1">
      <alignment horizontal="center" vertical="center" wrapText="1"/>
    </xf>
    <xf numFmtId="0" fontId="80" fillId="5" borderId="42" xfId="27" applyFont="1" applyFill="1" applyBorder="1" applyAlignment="1" applyProtection="1">
      <alignment horizontal="center" vertical="center" wrapText="1"/>
    </xf>
    <xf numFmtId="0" fontId="80" fillId="5" borderId="43" xfId="27" applyFont="1" applyFill="1" applyBorder="1" applyAlignment="1" applyProtection="1">
      <alignment horizontal="center" vertical="center" wrapText="1"/>
    </xf>
    <xf numFmtId="0" fontId="80" fillId="5" borderId="39" xfId="27" applyNumberFormat="1" applyFont="1" applyFill="1" applyBorder="1" applyAlignment="1" applyProtection="1">
      <alignment horizontal="center" vertical="center" wrapText="1"/>
    </xf>
    <xf numFmtId="0" fontId="80" fillId="5" borderId="42" xfId="27" applyNumberFormat="1" applyFont="1" applyFill="1" applyBorder="1" applyAlignment="1" applyProtection="1">
      <alignment horizontal="center" vertical="center" wrapText="1"/>
    </xf>
    <xf numFmtId="0" fontId="80" fillId="5" borderId="43" xfId="27"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5" borderId="42"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center" vertical="center" wrapText="1"/>
    </xf>
    <xf numFmtId="0" fontId="42" fillId="5" borderId="45" xfId="0" applyNumberFormat="1" applyFont="1" applyFill="1" applyBorder="1" applyAlignment="1" applyProtection="1">
      <alignment horizontal="center" vertical="center" wrapText="1"/>
    </xf>
    <xf numFmtId="0" fontId="42" fillId="5" borderId="46" xfId="0" applyNumberFormat="1" applyFont="1" applyFill="1" applyBorder="1" applyAlignment="1" applyProtection="1">
      <alignment horizontal="center" vertical="center" wrapText="1"/>
    </xf>
    <xf numFmtId="0" fontId="42" fillId="5" borderId="47" xfId="0" applyNumberFormat="1" applyFont="1" applyFill="1" applyBorder="1" applyAlignment="1" applyProtection="1">
      <alignment horizontal="center" vertical="center" wrapText="1"/>
    </xf>
    <xf numFmtId="0" fontId="33" fillId="0" borderId="0" xfId="9" applyFont="1" applyFill="1" applyBorder="1" applyAlignment="1" applyProtection="1">
      <alignment horizontal="right" vertical="center" wrapText="1"/>
    </xf>
    <xf numFmtId="2" fontId="42" fillId="5" borderId="1" xfId="27" applyNumberFormat="1" applyFont="1" applyFill="1" applyBorder="1" applyAlignment="1" applyProtection="1">
      <alignment horizontal="center" vertical="center" wrapText="1"/>
    </xf>
    <xf numFmtId="2" fontId="42" fillId="5" borderId="39" xfId="27" applyNumberFormat="1" applyFont="1" applyFill="1" applyBorder="1" applyAlignment="1" applyProtection="1">
      <alignment horizontal="center" vertical="center" wrapText="1"/>
    </xf>
    <xf numFmtId="2" fontId="42" fillId="5" borderId="42" xfId="27" applyNumberFormat="1" applyFont="1" applyFill="1" applyBorder="1" applyAlignment="1" applyProtection="1">
      <alignment horizontal="center" vertical="center" wrapText="1"/>
    </xf>
    <xf numFmtId="2" fontId="42" fillId="5" borderId="43" xfId="27" applyNumberFormat="1" applyFont="1" applyFill="1" applyBorder="1" applyAlignment="1" applyProtection="1">
      <alignment horizontal="center" vertical="center" wrapText="1"/>
    </xf>
    <xf numFmtId="2" fontId="42" fillId="5" borderId="44" xfId="27" applyNumberFormat="1" applyFont="1" applyFill="1" applyBorder="1" applyAlignment="1" applyProtection="1">
      <alignment horizontal="center" vertical="center" wrapText="1"/>
    </xf>
    <xf numFmtId="2" fontId="42" fillId="5" borderId="56" xfId="27" applyNumberFormat="1" applyFont="1" applyFill="1" applyBorder="1" applyAlignment="1" applyProtection="1">
      <alignment horizontal="center" vertical="center" wrapText="1"/>
    </xf>
    <xf numFmtId="2" fontId="42" fillId="5" borderId="45" xfId="27" applyNumberFormat="1" applyFont="1" applyFill="1" applyBorder="1" applyAlignment="1" applyProtection="1">
      <alignment horizontal="center" vertical="center" wrapText="1"/>
    </xf>
    <xf numFmtId="2" fontId="42" fillId="5" borderId="40" xfId="27" applyNumberFormat="1" applyFont="1" applyFill="1" applyBorder="1" applyAlignment="1" applyProtection="1">
      <alignment horizontal="center" vertical="center" wrapText="1"/>
    </xf>
    <xf numFmtId="2" fontId="42" fillId="5" borderId="41" xfId="27" applyNumberFormat="1" applyFont="1" applyFill="1" applyBorder="1" applyAlignment="1" applyProtection="1">
      <alignment horizontal="center" vertical="center" wrapText="1"/>
    </xf>
    <xf numFmtId="2" fontId="42" fillId="5" borderId="48" xfId="27" applyNumberFormat="1" applyFont="1" applyFill="1" applyBorder="1" applyAlignment="1" applyProtection="1">
      <alignment horizontal="center" vertical="center" wrapText="1"/>
    </xf>
    <xf numFmtId="2" fontId="42" fillId="5" borderId="2" xfId="27" applyNumberFormat="1" applyFont="1" applyFill="1" applyBorder="1" applyAlignment="1" applyProtection="1">
      <alignment horizontal="center" vertical="center" wrapText="1"/>
    </xf>
    <xf numFmtId="2" fontId="42" fillId="5" borderId="46" xfId="27" applyNumberFormat="1" applyFont="1" applyFill="1" applyBorder="1" applyAlignment="1" applyProtection="1">
      <alignment horizontal="center" vertical="center" wrapText="1"/>
    </xf>
    <xf numFmtId="0" fontId="42" fillId="5" borderId="1" xfId="27" applyFont="1" applyFill="1" applyBorder="1" applyAlignment="1" applyProtection="1">
      <alignment horizontal="center" vertical="center" wrapText="1"/>
    </xf>
    <xf numFmtId="0" fontId="42" fillId="5" borderId="39" xfId="27" applyFont="1" applyFill="1" applyBorder="1" applyAlignment="1" applyProtection="1">
      <alignment horizontal="center" vertical="center" wrapText="1"/>
    </xf>
    <xf numFmtId="0" fontId="42" fillId="5" borderId="42" xfId="27" applyFont="1" applyFill="1" applyBorder="1" applyAlignment="1" applyProtection="1">
      <alignment horizontal="center" vertical="center" wrapText="1"/>
    </xf>
    <xf numFmtId="0" fontId="42" fillId="5" borderId="43" xfId="27" applyFont="1" applyFill="1" applyBorder="1" applyAlignment="1" applyProtection="1">
      <alignment horizontal="center" vertical="center" wrapText="1"/>
    </xf>
    <xf numFmtId="0" fontId="99" fillId="0" borderId="0" xfId="5" applyFont="1" applyAlignment="1" applyProtection="1">
      <alignment horizontal="left" vertical="top"/>
    </xf>
    <xf numFmtId="0" fontId="42" fillId="0" borderId="0" xfId="9" applyFont="1" applyFill="1" applyBorder="1" applyAlignment="1" applyProtection="1">
      <alignment horizontal="right" vertical="center" wrapText="1"/>
    </xf>
    <xf numFmtId="0" fontId="42" fillId="0" borderId="0" xfId="10" applyFont="1" applyFill="1" applyBorder="1" applyAlignment="1" applyProtection="1">
      <alignment horizontal="center" vertical="center" wrapText="1"/>
    </xf>
    <xf numFmtId="0" fontId="42" fillId="5" borderId="44" xfId="27" applyFont="1" applyFill="1" applyBorder="1" applyAlignment="1" applyProtection="1">
      <alignment horizontal="center" vertical="center" wrapText="1"/>
    </xf>
    <xf numFmtId="0" fontId="42" fillId="5" borderId="45" xfId="27" applyFont="1" applyFill="1" applyBorder="1" applyAlignment="1" applyProtection="1">
      <alignment horizontal="center" vertical="center" wrapText="1"/>
    </xf>
    <xf numFmtId="49" fontId="43" fillId="0" borderId="0" xfId="0" applyNumberFormat="1" applyFont="1" applyFill="1" applyAlignment="1" applyProtection="1">
      <alignment horizontal="center" vertical="center" wrapText="1"/>
    </xf>
    <xf numFmtId="49" fontId="43" fillId="0" borderId="0" xfId="0" applyNumberFormat="1" applyFont="1" applyFill="1" applyAlignment="1" applyProtection="1">
      <alignment horizontal="center" vertical="center"/>
    </xf>
    <xf numFmtId="2" fontId="24" fillId="5" borderId="39" xfId="27" applyNumberFormat="1" applyFont="1" applyFill="1" applyBorder="1" applyAlignment="1" applyProtection="1">
      <alignment horizontal="center" vertical="center" wrapText="1"/>
    </xf>
    <xf numFmtId="2" fontId="24" fillId="5" borderId="43" xfId="27" applyNumberFormat="1" applyFont="1" applyFill="1" applyBorder="1" applyAlignment="1" applyProtection="1">
      <alignment horizontal="center" vertical="center" wrapText="1"/>
    </xf>
    <xf numFmtId="0" fontId="96" fillId="5" borderId="40" xfId="26" applyFont="1" applyFill="1" applyBorder="1" applyAlignment="1" applyProtection="1">
      <alignment horizontal="center" vertical="center" wrapText="1"/>
    </xf>
    <xf numFmtId="0" fontId="96" fillId="5" borderId="41" xfId="26" applyFont="1" applyFill="1" applyBorder="1" applyAlignment="1" applyProtection="1">
      <alignment horizontal="center" vertical="center" wrapText="1"/>
    </xf>
    <xf numFmtId="0" fontId="96" fillId="5" borderId="48" xfId="26" applyFont="1" applyFill="1" applyBorder="1" applyAlignment="1" applyProtection="1">
      <alignment horizontal="center" vertical="center" wrapText="1"/>
    </xf>
    <xf numFmtId="0" fontId="110" fillId="0" borderId="0" xfId="0" applyFont="1" applyBorder="1" applyAlignment="1" applyProtection="1">
      <alignment horizontal="center"/>
    </xf>
    <xf numFmtId="0" fontId="53" fillId="5" borderId="39" xfId="0" applyNumberFormat="1" applyFont="1" applyFill="1" applyBorder="1" applyAlignment="1" applyProtection="1">
      <alignment horizontal="center" vertical="center" wrapText="1"/>
    </xf>
    <xf numFmtId="0" fontId="53" fillId="5" borderId="43" xfId="0" applyNumberFormat="1" applyFont="1" applyFill="1" applyBorder="1" applyAlignment="1" applyProtection="1">
      <alignment horizontal="center" vertical="center" wrapText="1"/>
    </xf>
    <xf numFmtId="0" fontId="53" fillId="5" borderId="39"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38" fillId="15" borderId="0" xfId="10" applyFont="1" applyFill="1" applyBorder="1" applyAlignment="1" applyProtection="1">
      <alignment horizontal="center" vertical="center" wrapText="1"/>
    </xf>
    <xf numFmtId="3" fontId="80" fillId="5" borderId="1" xfId="26" applyNumberFormat="1" applyFont="1" applyFill="1" applyBorder="1" applyAlignment="1" applyProtection="1">
      <alignment horizontal="center" vertical="center" wrapText="1"/>
    </xf>
    <xf numFmtId="3" fontId="80" fillId="5" borderId="40" xfId="26" applyNumberFormat="1" applyFont="1" applyFill="1" applyBorder="1" applyAlignment="1" applyProtection="1">
      <alignment horizontal="center" vertical="center" wrapText="1"/>
    </xf>
    <xf numFmtId="3" fontId="80" fillId="5" borderId="41" xfId="26" applyNumberFormat="1" applyFont="1" applyFill="1" applyBorder="1" applyAlignment="1" applyProtection="1">
      <alignment horizontal="center" vertical="center" wrapText="1"/>
    </xf>
    <xf numFmtId="3" fontId="80" fillId="5" borderId="48" xfId="26" applyNumberFormat="1" applyFont="1" applyFill="1" applyBorder="1" applyAlignment="1" applyProtection="1">
      <alignment horizontal="center" vertical="center" wrapText="1"/>
    </xf>
    <xf numFmtId="0" fontId="42" fillId="5" borderId="1" xfId="26" applyNumberFormat="1" applyFont="1" applyFill="1" applyBorder="1" applyAlignment="1" applyProtection="1">
      <alignment horizontal="center" vertical="center" wrapText="1"/>
    </xf>
    <xf numFmtId="0" fontId="38" fillId="0" borderId="0" xfId="17" applyFont="1" applyBorder="1" applyAlignment="1" applyProtection="1">
      <alignment horizontal="center" vertical="center" wrapText="1"/>
    </xf>
    <xf numFmtId="49" fontId="77" fillId="0" borderId="0" xfId="0" applyNumberFormat="1" applyFont="1" applyFill="1" applyBorder="1" applyAlignment="1" applyProtection="1">
      <alignment wrapText="1"/>
    </xf>
    <xf numFmtId="49" fontId="108" fillId="0" borderId="0" xfId="0" applyNumberFormat="1" applyFont="1" applyAlignment="1" applyProtection="1">
      <alignment wrapText="1"/>
    </xf>
    <xf numFmtId="49" fontId="77" fillId="0" borderId="0" xfId="0" applyNumberFormat="1" applyFont="1" applyFill="1" applyBorder="1" applyAlignment="1" applyProtection="1"/>
    <xf numFmtId="49" fontId="108" fillId="0" borderId="0" xfId="0" applyNumberFormat="1" applyFont="1" applyAlignment="1" applyProtection="1"/>
    <xf numFmtId="49" fontId="39" fillId="0" borderId="0" xfId="0" applyNumberFormat="1" applyFont="1" applyFill="1" applyBorder="1" applyAlignment="1" applyProtection="1">
      <alignment horizontal="left" wrapText="1"/>
    </xf>
    <xf numFmtId="0" fontId="38" fillId="0" borderId="0" xfId="17" applyFont="1" applyFill="1" applyAlignment="1" applyProtection="1">
      <alignment horizontal="center" vertical="center" wrapText="1"/>
    </xf>
    <xf numFmtId="0" fontId="42" fillId="5" borderId="1" xfId="1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xf>
    <xf numFmtId="0" fontId="85" fillId="5" borderId="1" xfId="11" applyFont="1" applyFill="1" applyBorder="1" applyAlignment="1" applyProtection="1">
      <alignment horizontal="center" vertical="center" wrapText="1"/>
    </xf>
    <xf numFmtId="0" fontId="80" fillId="5" borderId="1" xfId="11" applyFont="1" applyFill="1" applyBorder="1" applyAlignment="1" applyProtection="1">
      <alignment horizontal="center" vertical="center" wrapText="1"/>
    </xf>
    <xf numFmtId="49" fontId="39" fillId="0" borderId="0" xfId="0" applyNumberFormat="1" applyFont="1" applyFill="1" applyBorder="1" applyAlignment="1" applyProtection="1">
      <alignment horizontal="left" vertical="top" wrapText="1"/>
    </xf>
    <xf numFmtId="0" fontId="43" fillId="0" borderId="0" xfId="19" applyNumberFormat="1" applyFont="1" applyFill="1" applyAlignment="1" applyProtection="1">
      <alignment horizontal="center" vertical="center" wrapText="1"/>
    </xf>
    <xf numFmtId="0" fontId="9" fillId="7" borderId="39" xfId="11" applyFont="1" applyFill="1" applyBorder="1" applyAlignment="1" applyProtection="1">
      <alignment horizontal="center" vertical="center" wrapText="1"/>
    </xf>
    <xf numFmtId="0" fontId="9" fillId="7" borderId="42" xfId="11" applyFont="1" applyFill="1" applyBorder="1" applyAlignment="1" applyProtection="1">
      <alignment horizontal="center" vertical="center" wrapText="1"/>
    </xf>
    <xf numFmtId="0" fontId="9" fillId="7" borderId="43" xfId="11" applyFont="1" applyFill="1" applyBorder="1" applyAlignment="1" applyProtection="1">
      <alignment horizontal="center" vertical="center" wrapText="1"/>
    </xf>
    <xf numFmtId="0" fontId="39" fillId="7" borderId="40" xfId="19" applyFont="1" applyFill="1" applyBorder="1" applyAlignment="1" applyProtection="1">
      <alignment horizontal="center" vertical="center" wrapText="1"/>
    </xf>
    <xf numFmtId="0" fontId="39" fillId="7" borderId="41" xfId="19" applyFont="1" applyFill="1" applyBorder="1" applyAlignment="1" applyProtection="1">
      <alignment horizontal="center" vertical="center" wrapText="1"/>
    </xf>
    <xf numFmtId="0" fontId="39" fillId="7" borderId="39" xfId="19" applyFont="1" applyFill="1" applyBorder="1" applyAlignment="1" applyProtection="1">
      <alignment horizontal="center" vertical="center" wrapText="1"/>
    </xf>
    <xf numFmtId="0" fontId="39" fillId="7" borderId="43" xfId="19" applyFont="1" applyFill="1" applyBorder="1" applyAlignment="1" applyProtection="1">
      <alignment horizontal="center" vertical="center" wrapText="1"/>
    </xf>
    <xf numFmtId="49" fontId="46" fillId="7" borderId="39" xfId="11" applyNumberFormat="1" applyFont="1" applyFill="1" applyBorder="1" applyAlignment="1" applyProtection="1">
      <alignment horizontal="center" vertical="center" wrapText="1"/>
    </xf>
    <xf numFmtId="49" fontId="46" fillId="7" borderId="42" xfId="11" applyNumberFormat="1" applyFont="1" applyFill="1" applyBorder="1" applyAlignment="1" applyProtection="1">
      <alignment horizontal="center" vertical="center" wrapText="1"/>
    </xf>
    <xf numFmtId="49" fontId="46" fillId="7" borderId="43" xfId="11" applyNumberFormat="1" applyFont="1" applyFill="1" applyBorder="1" applyAlignment="1" applyProtection="1">
      <alignment horizontal="center" vertical="center" wrapText="1"/>
    </xf>
    <xf numFmtId="0" fontId="46" fillId="7" borderId="39" xfId="11" applyFont="1" applyFill="1" applyBorder="1" applyAlignment="1" applyProtection="1">
      <alignment horizontal="center" vertical="center" wrapText="1"/>
    </xf>
    <xf numFmtId="0" fontId="46" fillId="7" borderId="42" xfId="11" applyFont="1" applyFill="1" applyBorder="1" applyAlignment="1" applyProtection="1">
      <alignment horizontal="center" vertical="center" wrapText="1"/>
    </xf>
    <xf numFmtId="0" fontId="46" fillId="7" borderId="43" xfId="11" applyFont="1" applyFill="1" applyBorder="1" applyAlignment="1" applyProtection="1">
      <alignment horizontal="center" vertical="center" wrapText="1"/>
    </xf>
    <xf numFmtId="0" fontId="39" fillId="7" borderId="44" xfId="19" applyFont="1" applyFill="1" applyBorder="1" applyAlignment="1" applyProtection="1">
      <alignment horizontal="center" vertical="center" wrapText="1"/>
    </xf>
    <xf numFmtId="0" fontId="39" fillId="7" borderId="45" xfId="19" applyFont="1" applyFill="1" applyBorder="1" applyAlignment="1" applyProtection="1">
      <alignment horizontal="center" vertical="center" wrapText="1"/>
    </xf>
    <xf numFmtId="0" fontId="39" fillId="7" borderId="46" xfId="19" applyFont="1" applyFill="1" applyBorder="1" applyAlignment="1" applyProtection="1">
      <alignment horizontal="center" vertical="center" wrapText="1"/>
    </xf>
    <xf numFmtId="0" fontId="39" fillId="7" borderId="47" xfId="19" applyFont="1" applyFill="1" applyBorder="1" applyAlignment="1" applyProtection="1">
      <alignment horizontal="center" vertical="center" wrapText="1"/>
    </xf>
    <xf numFmtId="0" fontId="40" fillId="7" borderId="40" xfId="19" applyFont="1" applyFill="1" applyBorder="1" applyAlignment="1" applyProtection="1">
      <alignment horizontal="center" vertical="center" wrapText="1"/>
    </xf>
    <xf numFmtId="0" fontId="40" fillId="7" borderId="41" xfId="19" applyFont="1" applyFill="1" applyBorder="1" applyAlignment="1" applyProtection="1">
      <alignment horizontal="center" vertical="center" wrapText="1"/>
    </xf>
    <xf numFmtId="0" fontId="40" fillId="7" borderId="48" xfId="19" applyFont="1" applyFill="1" applyBorder="1" applyAlignment="1" applyProtection="1">
      <alignment horizontal="center" vertical="center" wrapText="1"/>
    </xf>
    <xf numFmtId="0" fontId="39" fillId="7" borderId="44" xfId="20" applyNumberFormat="1" applyFont="1" applyFill="1" applyBorder="1" applyAlignment="1" applyProtection="1">
      <alignment horizontal="center" vertical="center" wrapText="1"/>
    </xf>
    <xf numFmtId="0" fontId="39" fillId="7" borderId="45" xfId="20" applyNumberFormat="1" applyFont="1" applyFill="1" applyBorder="1" applyAlignment="1" applyProtection="1">
      <alignment horizontal="center" vertical="center" wrapText="1"/>
    </xf>
    <xf numFmtId="0" fontId="39" fillId="7" borderId="46" xfId="20" applyNumberFormat="1" applyFont="1" applyFill="1" applyBorder="1" applyAlignment="1" applyProtection="1">
      <alignment horizontal="center" vertical="center" wrapText="1"/>
    </xf>
    <xf numFmtId="0" fontId="39" fillId="7" borderId="47" xfId="20" applyNumberFormat="1" applyFont="1" applyFill="1" applyBorder="1" applyAlignment="1" applyProtection="1">
      <alignment horizontal="center" vertical="center" wrapText="1"/>
    </xf>
    <xf numFmtId="0" fontId="40" fillId="7" borderId="39" xfId="19" applyFont="1" applyFill="1" applyBorder="1" applyAlignment="1" applyProtection="1">
      <alignment horizontal="center" vertical="center" wrapText="1"/>
    </xf>
    <xf numFmtId="0" fontId="40" fillId="7" borderId="43" xfId="19" applyFont="1" applyFill="1" applyBorder="1" applyAlignment="1" applyProtection="1">
      <alignment horizontal="center" vertical="center" wrapText="1"/>
    </xf>
    <xf numFmtId="0" fontId="40" fillId="7" borderId="1" xfId="19" applyFont="1" applyFill="1" applyBorder="1" applyAlignment="1" applyProtection="1">
      <alignment horizontal="center" vertical="center" wrapText="1"/>
    </xf>
    <xf numFmtId="0" fontId="51" fillId="0" borderId="49" xfId="22" applyFont="1" applyBorder="1" applyAlignment="1">
      <alignment horizontal="center" vertical="center" wrapText="1"/>
    </xf>
    <xf numFmtId="0" fontId="11" fillId="0" borderId="0" xfId="0" applyFont="1" applyFill="1" applyBorder="1" applyAlignment="1" applyProtection="1">
      <alignment horizontal="left" wrapText="1"/>
    </xf>
    <xf numFmtId="0" fontId="38" fillId="0" borderId="0" xfId="0" applyFont="1" applyAlignment="1" applyProtection="1">
      <alignment horizontal="center"/>
    </xf>
    <xf numFmtId="0" fontId="39" fillId="5" borderId="1" xfId="0" applyNumberFormat="1" applyFont="1" applyFill="1" applyBorder="1" applyAlignment="1" applyProtection="1">
      <alignment horizontal="center" vertical="center" wrapText="1"/>
    </xf>
    <xf numFmtId="0" fontId="111" fillId="0" borderId="0" xfId="17" applyFont="1" applyAlignment="1" applyProtection="1">
      <alignment horizontal="center" vertical="center" wrapText="1"/>
    </xf>
    <xf numFmtId="1" fontId="39" fillId="5" borderId="1" xfId="0" applyNumberFormat="1" applyFont="1" applyFill="1" applyBorder="1" applyAlignment="1" applyProtection="1">
      <alignment horizontal="center" vertical="center" wrapText="1"/>
    </xf>
    <xf numFmtId="1" fontId="39" fillId="5" borderId="39" xfId="0" applyNumberFormat="1" applyFont="1" applyFill="1" applyBorder="1" applyAlignment="1" applyProtection="1">
      <alignment horizontal="center" vertical="center" wrapText="1"/>
    </xf>
    <xf numFmtId="1" fontId="39" fillId="5" borderId="43" xfId="0" applyNumberFormat="1" applyFont="1" applyFill="1" applyBorder="1" applyAlignment="1" applyProtection="1">
      <alignment horizontal="center" vertical="center" wrapText="1"/>
    </xf>
    <xf numFmtId="0" fontId="119" fillId="5" borderId="39" xfId="0" applyFont="1" applyFill="1" applyBorder="1" applyAlignment="1" applyProtection="1">
      <alignment horizontal="center" vertical="center"/>
    </xf>
    <xf numFmtId="0" fontId="119" fillId="5" borderId="43" xfId="0" applyFont="1" applyFill="1" applyBorder="1" applyAlignment="1" applyProtection="1">
      <alignment horizontal="center" vertical="center"/>
    </xf>
    <xf numFmtId="1" fontId="39" fillId="5" borderId="40" xfId="0" applyNumberFormat="1" applyFont="1" applyFill="1" applyBorder="1" applyAlignment="1" applyProtection="1">
      <alignment horizontal="center" vertical="center" wrapText="1"/>
    </xf>
    <xf numFmtId="1" fontId="39" fillId="5" borderId="41" xfId="0" applyNumberFormat="1" applyFont="1" applyFill="1" applyBorder="1" applyAlignment="1" applyProtection="1">
      <alignment horizontal="center" vertical="center" wrapText="1"/>
    </xf>
    <xf numFmtId="1" fontId="39" fillId="5" borderId="48" xfId="0" applyNumberFormat="1" applyFont="1" applyFill="1" applyBorder="1" applyAlignment="1" applyProtection="1">
      <alignment horizontal="center" vertical="center" wrapText="1"/>
    </xf>
    <xf numFmtId="0" fontId="114" fillId="0" borderId="0" xfId="5" applyFont="1" applyAlignment="1" applyProtection="1">
      <alignment horizontal="left" vertical="top"/>
    </xf>
    <xf numFmtId="0" fontId="121" fillId="0" borderId="0" xfId="0" applyFont="1" applyAlignment="1" applyProtection="1">
      <alignment horizontal="right"/>
    </xf>
    <xf numFmtId="0" fontId="122" fillId="0" borderId="0" xfId="0" applyFont="1" applyAlignment="1" applyProtection="1">
      <alignment horizontal="right"/>
    </xf>
    <xf numFmtId="0" fontId="40" fillId="0" borderId="0" xfId="0" applyFont="1" applyAlignment="1" applyProtection="1">
      <alignment horizontal="right"/>
    </xf>
    <xf numFmtId="0" fontId="39" fillId="0" borderId="0" xfId="17" applyFont="1" applyAlignment="1" applyProtection="1">
      <alignment horizontal="center" vertical="center" wrapText="1"/>
    </xf>
    <xf numFmtId="0" fontId="40" fillId="0" borderId="0" xfId="17" applyFont="1" applyAlignment="1" applyProtection="1">
      <alignment horizontal="center" vertical="center" wrapText="1"/>
    </xf>
    <xf numFmtId="1" fontId="39" fillId="3" borderId="39" xfId="0" applyNumberFormat="1" applyFont="1" applyFill="1" applyBorder="1" applyAlignment="1" applyProtection="1">
      <alignment horizontal="center" vertical="center" wrapText="1"/>
      <protection locked="0"/>
    </xf>
    <xf numFmtId="1" fontId="39" fillId="3" borderId="42" xfId="0" applyNumberFormat="1" applyFont="1" applyFill="1" applyBorder="1" applyAlignment="1" applyProtection="1">
      <alignment horizontal="center" vertical="center" wrapText="1"/>
      <protection locked="0"/>
    </xf>
    <xf numFmtId="1" fontId="39" fillId="3" borderId="43" xfId="0" applyNumberFormat="1" applyFont="1" applyFill="1" applyBorder="1" applyAlignment="1" applyProtection="1">
      <alignment horizontal="center" vertical="center" wrapText="1"/>
      <protection locked="0"/>
    </xf>
    <xf numFmtId="0" fontId="116" fillId="0" borderId="0" xfId="0" applyFont="1" applyBorder="1" applyAlignment="1" applyProtection="1">
      <alignment horizontal="center" vertical="center" wrapText="1"/>
    </xf>
    <xf numFmtId="0" fontId="117" fillId="0" borderId="0" xfId="0" applyFont="1" applyAlignment="1" applyProtection="1">
      <alignment horizontal="center" vertical="center" wrapText="1"/>
    </xf>
    <xf numFmtId="0" fontId="118" fillId="0" borderId="0" xfId="0" applyFont="1" applyBorder="1" applyAlignment="1" applyProtection="1">
      <alignment horizontal="right" vertical="center" wrapText="1"/>
    </xf>
    <xf numFmtId="49" fontId="22" fillId="0" borderId="0" xfId="7" applyNumberFormat="1" applyBorder="1" applyAlignment="1" applyProtection="1">
      <alignment horizontal="left" vertical="center" wrapText="1"/>
    </xf>
    <xf numFmtId="0" fontId="127" fillId="0" borderId="3" xfId="8" applyFont="1" applyBorder="1" applyAlignment="1" applyProtection="1">
      <alignment horizontal="left" vertical="center" indent="1"/>
    </xf>
    <xf numFmtId="0" fontId="127" fillId="0" borderId="0" xfId="8" applyFont="1" applyAlignment="1" applyProtection="1">
      <alignment horizontal="center" vertical="center"/>
    </xf>
    <xf numFmtId="0" fontId="0" fillId="0" borderId="15" xfId="0" applyNumberFormat="1" applyBorder="1" applyAlignment="1">
      <alignment horizontal="center" vertical="center" wrapText="1"/>
    </xf>
    <xf numFmtId="0" fontId="56" fillId="8" borderId="0" xfId="0" applyNumberFormat="1" applyFont="1" applyFill="1" applyBorder="1" applyAlignment="1" applyProtection="1">
      <alignment horizontal="center" vertical="center"/>
    </xf>
    <xf numFmtId="49" fontId="5" fillId="8" borderId="51" xfId="0" applyNumberFormat="1" applyFont="1" applyFill="1" applyBorder="1" applyAlignment="1" applyProtection="1">
      <alignment horizontal="center" vertical="center"/>
    </xf>
    <xf numFmtId="0" fontId="5" fillId="8" borderId="52" xfId="0" applyNumberFormat="1" applyFont="1" applyFill="1" applyBorder="1" applyAlignment="1" applyProtection="1">
      <alignment horizontal="center" vertical="center"/>
    </xf>
    <xf numFmtId="0" fontId="5" fillId="8" borderId="11" xfId="0" applyNumberFormat="1" applyFont="1" applyFill="1" applyBorder="1" applyAlignment="1" applyProtection="1">
      <alignment horizontal="center" vertical="center"/>
    </xf>
    <xf numFmtId="0" fontId="5" fillId="8" borderId="53" xfId="0" applyNumberFormat="1" applyFont="1" applyFill="1" applyBorder="1" applyAlignment="1" applyProtection="1">
      <alignment horizontal="center" vertical="center"/>
    </xf>
    <xf numFmtId="0" fontId="33" fillId="11" borderId="52" xfId="0" applyFont="1" applyFill="1" applyBorder="1" applyAlignment="1" applyProtection="1"/>
    <xf numFmtId="49" fontId="33" fillId="0" borderId="12" xfId="15" applyFont="1" applyFill="1" applyBorder="1" applyAlignment="1" applyProtection="1">
      <alignment horizontal="center" vertical="center"/>
    </xf>
    <xf numFmtId="0" fontId="5" fillId="0" borderId="15" xfId="15" applyNumberFormat="1" applyBorder="1" applyAlignment="1">
      <alignment horizontal="center" vertical="center" wrapText="1"/>
    </xf>
    <xf numFmtId="0" fontId="56" fillId="0" borderId="0" xfId="15" applyNumberFormat="1" applyFont="1" applyFill="1" applyBorder="1" applyAlignment="1" applyProtection="1">
      <alignment horizontal="center" vertical="center"/>
    </xf>
    <xf numFmtId="49" fontId="5" fillId="0" borderId="51" xfId="15" applyNumberFormat="1" applyBorder="1" applyAlignment="1" applyProtection="1">
      <alignment horizontal="center" vertical="center" wrapText="1"/>
    </xf>
    <xf numFmtId="0" fontId="5" fillId="0" borderId="12" xfId="15" applyNumberFormat="1" applyBorder="1" applyAlignment="1" applyProtection="1">
      <alignment horizontal="center" vertical="center" wrapText="1"/>
    </xf>
    <xf numFmtId="0" fontId="5" fillId="0" borderId="53" xfId="15" applyNumberFormat="1" applyFont="1" applyBorder="1" applyAlignment="1" applyProtection="1">
      <alignment horizontal="center" vertical="center" wrapText="1"/>
    </xf>
    <xf numFmtId="0" fontId="213" fillId="24" borderId="39" xfId="0" applyFont="1" applyFill="1" applyBorder="1" applyAlignment="1">
      <alignment horizontal="center" vertical="center" wrapText="1"/>
    </xf>
    <xf numFmtId="0" fontId="213" fillId="24" borderId="43" xfId="0" applyFont="1" applyFill="1" applyBorder="1" applyAlignment="1">
      <alignment horizontal="center" vertical="center" wrapText="1"/>
    </xf>
    <xf numFmtId="0" fontId="57" fillId="0" borderId="11" xfId="34" applyFont="1" applyFill="1" applyBorder="1" applyAlignment="1" applyProtection="1">
      <alignment horizontal="right" vertical="center"/>
    </xf>
    <xf numFmtId="0" fontId="57" fillId="0" borderId="12" xfId="34" applyFont="1" applyFill="1" applyBorder="1" applyAlignment="1" applyProtection="1">
      <alignment horizontal="right" vertical="center"/>
    </xf>
    <xf numFmtId="0" fontId="57" fillId="0" borderId="9" xfId="34" applyFont="1" applyFill="1" applyBorder="1" applyAlignment="1" applyProtection="1">
      <alignment horizontal="right" vertical="center"/>
    </xf>
    <xf numFmtId="49" fontId="132" fillId="6" borderId="52" xfId="0" applyNumberFormat="1" applyFont="1" applyFill="1" applyBorder="1" applyAlignment="1" applyProtection="1">
      <alignment horizontal="left" vertical="center" wrapText="1"/>
      <protection locked="0"/>
    </xf>
    <xf numFmtId="0" fontId="33" fillId="20" borderId="52" xfId="0" applyFont="1" applyFill="1" applyBorder="1" applyAlignment="1" applyProtection="1">
      <alignment horizontal="center" vertical="center" wrapText="1"/>
    </xf>
    <xf numFmtId="0" fontId="57" fillId="0" borderId="11" xfId="34" applyFont="1" applyFill="1" applyBorder="1" applyAlignment="1" applyProtection="1">
      <alignment horizontal="right" vertical="center" wrapText="1"/>
    </xf>
    <xf numFmtId="0" fontId="57" fillId="0" borderId="12" xfId="34" applyFont="1" applyFill="1" applyBorder="1" applyAlignment="1" applyProtection="1">
      <alignment horizontal="right" vertical="center" wrapText="1"/>
    </xf>
    <xf numFmtId="0" fontId="57" fillId="0" borderId="9" xfId="34" applyFont="1" applyFill="1" applyBorder="1" applyAlignment="1" applyProtection="1">
      <alignment horizontal="right" vertical="center" wrapText="1"/>
    </xf>
    <xf numFmtId="0" fontId="33" fillId="0" borderId="12" xfId="0" applyFont="1" applyFill="1" applyBorder="1" applyAlignment="1" applyProtection="1">
      <alignment horizontal="center" vertical="center"/>
    </xf>
    <xf numFmtId="0" fontId="0" fillId="0" borderId="12" xfId="0" applyNumberFormat="1" applyBorder="1" applyAlignment="1">
      <alignment horizontal="center" vertical="center" wrapText="1"/>
    </xf>
    <xf numFmtId="0" fontId="33" fillId="0" borderId="54" xfId="0" applyFont="1" applyFill="1" applyBorder="1" applyAlignment="1" applyProtection="1">
      <alignment horizontal="center" vertical="center"/>
    </xf>
    <xf numFmtId="0" fontId="5" fillId="0" borderId="52" xfId="0" applyFont="1" applyBorder="1" applyAlignment="1" applyProtection="1">
      <alignment horizontal="center" vertical="center" wrapText="1"/>
    </xf>
    <xf numFmtId="0" fontId="5" fillId="0" borderId="52" xfId="0" applyFont="1" applyFill="1" applyBorder="1" applyAlignment="1" applyProtection="1">
      <alignment horizontal="center" vertical="center" wrapText="1"/>
    </xf>
    <xf numFmtId="0" fontId="0" fillId="0" borderId="52" xfId="0" applyNumberFormat="1" applyFill="1" applyBorder="1" applyAlignment="1" applyProtection="1">
      <alignment horizontal="center" vertical="center"/>
    </xf>
    <xf numFmtId="0" fontId="5" fillId="0" borderId="52" xfId="0" applyNumberFormat="1"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xf>
    <xf numFmtId="0" fontId="0" fillId="0" borderId="51" xfId="0" applyNumberFormat="1" applyFill="1" applyBorder="1" applyAlignment="1" applyProtection="1">
      <alignment horizontal="center" vertical="center"/>
    </xf>
    <xf numFmtId="0" fontId="5" fillId="0" borderId="53" xfId="0" applyNumberFormat="1" applyFont="1" applyFill="1" applyBorder="1" applyAlignment="1" applyProtection="1">
      <alignment horizontal="center" vertical="center"/>
    </xf>
    <xf numFmtId="0" fontId="129" fillId="0" borderId="0" xfId="0"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49" fontId="59" fillId="0" borderId="12" xfId="33" applyNumberFormat="1" applyBorder="1" applyAlignment="1" applyProtection="1">
      <alignment vertical="center"/>
    </xf>
    <xf numFmtId="0" fontId="146" fillId="0" borderId="40" xfId="15" applyNumberFormat="1" applyFont="1" applyBorder="1" applyAlignment="1">
      <alignment horizontal="center" vertical="center" wrapText="1"/>
    </xf>
    <xf numFmtId="0" fontId="146" fillId="0" borderId="41" xfId="15" applyNumberFormat="1" applyFont="1" applyBorder="1" applyAlignment="1">
      <alignment horizontal="center" vertical="center" wrapText="1"/>
    </xf>
    <xf numFmtId="0" fontId="146" fillId="0" borderId="48" xfId="15" applyNumberFormat="1" applyFont="1" applyBorder="1" applyAlignment="1">
      <alignment horizontal="center" vertical="center" wrapText="1"/>
    </xf>
    <xf numFmtId="49" fontId="146" fillId="0" borderId="39" xfId="15" applyFont="1" applyBorder="1" applyAlignment="1">
      <alignment horizontal="center" vertical="center" wrapText="1"/>
    </xf>
    <xf numFmtId="49" fontId="146" fillId="0" borderId="43" xfId="15" applyFont="1" applyBorder="1" applyAlignment="1">
      <alignment horizontal="center" vertical="center" wrapText="1"/>
    </xf>
    <xf numFmtId="0" fontId="147" fillId="22" borderId="1" xfId="15" applyNumberFormat="1" applyFont="1" applyFill="1" applyBorder="1" applyAlignment="1">
      <alignment horizontal="center" vertical="center" wrapText="1"/>
    </xf>
    <xf numFmtId="49" fontId="145" fillId="22" borderId="39" xfId="15" applyFont="1" applyFill="1" applyBorder="1" applyAlignment="1">
      <alignment horizontal="center" vertical="center" wrapText="1"/>
    </xf>
    <xf numFmtId="49" fontId="145" fillId="22" borderId="43" xfId="15" applyFont="1" applyFill="1" applyBorder="1" applyAlignment="1">
      <alignment horizontal="center" vertical="center" wrapText="1"/>
    </xf>
    <xf numFmtId="49" fontId="146" fillId="22" borderId="39" xfId="15" applyFont="1" applyFill="1" applyBorder="1" applyAlignment="1">
      <alignment horizontal="center" vertical="center" wrapText="1"/>
    </xf>
    <xf numFmtId="49" fontId="146" fillId="22" borderId="43" xfId="15" applyFont="1" applyFill="1" applyBorder="1" applyAlignment="1">
      <alignment horizontal="center" vertical="center" wrapText="1"/>
    </xf>
    <xf numFmtId="167" fontId="194" fillId="15" borderId="1" xfId="0" applyNumberFormat="1" applyFont="1" applyFill="1" applyBorder="1" applyAlignment="1">
      <alignment horizontal="center" vertical="center" wrapText="1"/>
    </xf>
    <xf numFmtId="49" fontId="194" fillId="3" borderId="1" xfId="0" applyNumberFormat="1" applyFont="1" applyFill="1" applyBorder="1" applyAlignment="1">
      <alignment horizontal="center" vertical="center" wrapText="1"/>
    </xf>
    <xf numFmtId="0" fontId="194" fillId="3" borderId="1" xfId="0" applyNumberFormat="1" applyFont="1" applyFill="1" applyBorder="1" applyAlignment="1">
      <alignment horizontal="center" vertical="center" wrapText="1"/>
    </xf>
    <xf numFmtId="167" fontId="194" fillId="15" borderId="103" xfId="0" applyNumberFormat="1" applyFont="1" applyFill="1" applyBorder="1" applyAlignment="1">
      <alignment horizontal="center"/>
    </xf>
    <xf numFmtId="167" fontId="194" fillId="15" borderId="96" xfId="0" applyNumberFormat="1" applyFont="1" applyFill="1" applyBorder="1" applyAlignment="1">
      <alignment horizontal="center"/>
    </xf>
    <xf numFmtId="167" fontId="194" fillId="15" borderId="100" xfId="0" applyNumberFormat="1" applyFont="1" applyFill="1" applyBorder="1" applyAlignment="1">
      <alignment horizontal="center"/>
    </xf>
    <xf numFmtId="167" fontId="200" fillId="24" borderId="66" xfId="0" applyNumberFormat="1" applyFont="1" applyFill="1" applyBorder="1" applyAlignment="1">
      <alignment horizontal="center" vertical="center" wrapText="1"/>
    </xf>
    <xf numFmtId="167" fontId="200" fillId="24" borderId="79" xfId="0" applyNumberFormat="1" applyFont="1" applyFill="1" applyBorder="1" applyAlignment="1">
      <alignment horizontal="center" vertical="center" wrapText="1"/>
    </xf>
    <xf numFmtId="167" fontId="200" fillId="24" borderId="62" xfId="0" applyNumberFormat="1" applyFont="1" applyFill="1" applyBorder="1" applyAlignment="1">
      <alignment horizontal="center" vertical="center" wrapText="1"/>
    </xf>
    <xf numFmtId="167" fontId="200" fillId="24" borderId="76" xfId="0" applyNumberFormat="1" applyFont="1" applyFill="1" applyBorder="1" applyAlignment="1">
      <alignment horizontal="center" vertical="center" wrapText="1"/>
    </xf>
    <xf numFmtId="167" fontId="200" fillId="24" borderId="38" xfId="0" applyNumberFormat="1" applyFont="1" applyFill="1" applyBorder="1" applyAlignment="1">
      <alignment horizontal="center" vertical="center" wrapText="1"/>
    </xf>
    <xf numFmtId="167" fontId="200" fillId="24" borderId="75" xfId="0" applyNumberFormat="1" applyFont="1" applyFill="1" applyBorder="1" applyAlignment="1">
      <alignment horizontal="center" vertical="center" wrapText="1"/>
    </xf>
    <xf numFmtId="167" fontId="200" fillId="24" borderId="97" xfId="0" applyNumberFormat="1" applyFont="1" applyFill="1" applyBorder="1" applyAlignment="1">
      <alignment horizontal="center" vertical="center"/>
    </xf>
    <xf numFmtId="167" fontId="200" fillId="24" borderId="99" xfId="0" applyNumberFormat="1" applyFont="1" applyFill="1" applyBorder="1" applyAlignment="1">
      <alignment horizontal="center" vertical="center"/>
    </xf>
    <xf numFmtId="167" fontId="200" fillId="24" borderId="64" xfId="0" applyNumberFormat="1" applyFont="1" applyFill="1" applyBorder="1" applyAlignment="1">
      <alignment horizontal="center" vertical="center"/>
    </xf>
    <xf numFmtId="167" fontId="200" fillId="24" borderId="88" xfId="0" applyNumberFormat="1" applyFont="1" applyFill="1" applyBorder="1" applyAlignment="1">
      <alignment horizontal="center" vertical="center"/>
    </xf>
    <xf numFmtId="167" fontId="200" fillId="24" borderId="102" xfId="0" applyNumberFormat="1" applyFont="1" applyFill="1" applyBorder="1" applyAlignment="1">
      <alignment horizontal="center" vertical="center" wrapText="1"/>
    </xf>
    <xf numFmtId="167" fontId="200" fillId="24" borderId="101" xfId="0" applyNumberFormat="1" applyFont="1" applyFill="1" applyBorder="1" applyAlignment="1">
      <alignment horizontal="center" vertical="center" wrapText="1"/>
    </xf>
    <xf numFmtId="171" fontId="209" fillId="15" borderId="78" xfId="0" applyNumberFormat="1" applyFont="1" applyFill="1" applyBorder="1" applyAlignment="1">
      <alignment horizontal="center" vertical="center"/>
    </xf>
    <xf numFmtId="167" fontId="208" fillId="24" borderId="63" xfId="0" applyNumberFormat="1" applyFont="1" applyFill="1" applyBorder="1" applyAlignment="1">
      <alignment horizontal="center" vertical="center" wrapText="1"/>
    </xf>
    <xf numFmtId="167" fontId="208" fillId="24" borderId="71" xfId="0" applyNumberFormat="1" applyFont="1" applyFill="1" applyBorder="1" applyAlignment="1">
      <alignment horizontal="center" vertical="center" wrapText="1"/>
    </xf>
    <xf numFmtId="167" fontId="208" fillId="24" borderId="77" xfId="0" applyNumberFormat="1" applyFont="1" applyFill="1" applyBorder="1" applyAlignment="1">
      <alignment horizontal="center" vertical="center" wrapText="1"/>
    </xf>
    <xf numFmtId="167" fontId="200" fillId="24" borderId="73" xfId="0" applyNumberFormat="1" applyFont="1" applyFill="1" applyBorder="1" applyAlignment="1">
      <alignment horizontal="center" vertical="center"/>
    </xf>
    <xf numFmtId="167" fontId="200" fillId="24" borderId="1" xfId="0" applyNumberFormat="1" applyFont="1" applyFill="1" applyBorder="1" applyAlignment="1">
      <alignment horizontal="center" vertical="center"/>
    </xf>
    <xf numFmtId="167" fontId="200" fillId="24" borderId="40" xfId="0" applyNumberFormat="1" applyFont="1" applyFill="1" applyBorder="1" applyAlignment="1">
      <alignment horizontal="center" vertical="center"/>
    </xf>
    <xf numFmtId="167" fontId="200" fillId="25" borderId="73" xfId="0" applyNumberFormat="1" applyFont="1" applyFill="1" applyBorder="1" applyAlignment="1">
      <alignment horizontal="center" vertical="center"/>
    </xf>
    <xf numFmtId="167" fontId="200" fillId="25" borderId="1" xfId="0" applyNumberFormat="1" applyFont="1" applyFill="1" applyBorder="1" applyAlignment="1">
      <alignment horizontal="center" vertical="center"/>
    </xf>
    <xf numFmtId="167" fontId="200" fillId="25" borderId="74" xfId="0" applyNumberFormat="1" applyFont="1" applyFill="1" applyBorder="1" applyAlignment="1">
      <alignment horizontal="center" vertical="center"/>
    </xf>
    <xf numFmtId="167" fontId="200" fillId="24" borderId="74" xfId="0" applyNumberFormat="1" applyFont="1" applyFill="1" applyBorder="1" applyAlignment="1">
      <alignment horizontal="center" vertical="center"/>
    </xf>
    <xf numFmtId="167" fontId="200" fillId="24" borderId="38" xfId="0" applyNumberFormat="1" applyFont="1" applyFill="1" applyBorder="1" applyAlignment="1">
      <alignment horizontal="center" vertical="center"/>
    </xf>
    <xf numFmtId="167" fontId="200" fillId="24" borderId="66" xfId="0" applyNumberFormat="1" applyFont="1" applyFill="1" applyBorder="1" applyAlignment="1">
      <alignment horizontal="center" vertical="center"/>
    </xf>
    <xf numFmtId="167" fontId="200" fillId="24" borderId="62" xfId="0" applyNumberFormat="1" applyFont="1" applyFill="1" applyBorder="1" applyAlignment="1">
      <alignment horizontal="center" vertical="center"/>
    </xf>
    <xf numFmtId="167" fontId="200" fillId="24" borderId="67" xfId="0" applyNumberFormat="1" applyFont="1" applyFill="1" applyBorder="1" applyAlignment="1">
      <alignment horizontal="center" vertical="center"/>
    </xf>
    <xf numFmtId="167" fontId="200" fillId="24" borderId="65" xfId="0" applyNumberFormat="1" applyFont="1" applyFill="1" applyBorder="1" applyAlignment="1">
      <alignment horizontal="center" vertical="center"/>
    </xf>
    <xf numFmtId="167" fontId="208" fillId="25" borderId="63" xfId="0" applyNumberFormat="1" applyFont="1" applyFill="1" applyBorder="1" applyAlignment="1">
      <alignment horizontal="center" vertical="center" wrapText="1"/>
    </xf>
    <xf numFmtId="167" fontId="208" fillId="25" borderId="71" xfId="0" applyNumberFormat="1" applyFont="1" applyFill="1" applyBorder="1" applyAlignment="1">
      <alignment horizontal="center" vertical="center" wrapText="1"/>
    </xf>
    <xf numFmtId="167" fontId="208" fillId="25" borderId="77" xfId="0" applyNumberFormat="1" applyFont="1" applyFill="1" applyBorder="1" applyAlignment="1">
      <alignment horizontal="center" vertical="center" wrapText="1"/>
    </xf>
    <xf numFmtId="167" fontId="206" fillId="15" borderId="0" xfId="0" applyNumberFormat="1" applyFont="1" applyFill="1" applyAlignment="1">
      <alignment horizontal="center" vertical="center"/>
    </xf>
    <xf numFmtId="167" fontId="200" fillId="25" borderId="67" xfId="0" applyNumberFormat="1" applyFont="1" applyFill="1" applyBorder="1" applyAlignment="1">
      <alignment horizontal="center" vertical="center"/>
    </xf>
    <xf numFmtId="167" fontId="200" fillId="25" borderId="65" xfId="0" applyNumberFormat="1" applyFont="1" applyFill="1" applyBorder="1" applyAlignment="1">
      <alignment horizontal="center" vertical="center"/>
    </xf>
    <xf numFmtId="167" fontId="200" fillId="25" borderId="68" xfId="0" applyNumberFormat="1" applyFont="1" applyFill="1" applyBorder="1" applyAlignment="1">
      <alignment horizontal="center" vertical="center"/>
    </xf>
    <xf numFmtId="167" fontId="200" fillId="25" borderId="38" xfId="0" applyNumberFormat="1" applyFont="1" applyFill="1" applyBorder="1" applyAlignment="1">
      <alignment horizontal="center" vertical="center"/>
    </xf>
    <xf numFmtId="167" fontId="200" fillId="25" borderId="66" xfId="0" applyNumberFormat="1" applyFont="1" applyFill="1" applyBorder="1" applyAlignment="1">
      <alignment horizontal="center" vertical="center"/>
    </xf>
    <xf numFmtId="167" fontId="200" fillId="25" borderId="62" xfId="0" applyNumberFormat="1" applyFont="1" applyFill="1" applyBorder="1" applyAlignment="1">
      <alignment horizontal="center" vertical="center"/>
    </xf>
    <xf numFmtId="167" fontId="200" fillId="24" borderId="69" xfId="0" applyNumberFormat="1" applyFont="1" applyFill="1" applyBorder="1" applyAlignment="1">
      <alignment horizontal="center" vertical="center" wrapText="1"/>
    </xf>
    <xf numFmtId="167" fontId="200" fillId="24" borderId="76" xfId="0" applyNumberFormat="1" applyFont="1" applyFill="1" applyBorder="1" applyAlignment="1">
      <alignment horizontal="center" vertical="center"/>
    </xf>
    <xf numFmtId="167" fontId="199" fillId="15" borderId="0" xfId="0" applyNumberFormat="1" applyFont="1" applyFill="1" applyAlignment="1">
      <alignment horizontal="left" vertical="center" wrapText="1"/>
    </xf>
    <xf numFmtId="167" fontId="202" fillId="26" borderId="80" xfId="0" applyNumberFormat="1" applyFont="1" applyFill="1" applyBorder="1" applyAlignment="1">
      <alignment horizontal="center" vertical="center"/>
    </xf>
    <xf numFmtId="167" fontId="202" fillId="26" borderId="83" xfId="0" applyNumberFormat="1" applyFont="1" applyFill="1" applyBorder="1" applyAlignment="1">
      <alignment horizontal="center" vertical="center"/>
    </xf>
    <xf numFmtId="167" fontId="202" fillId="26" borderId="81" xfId="0" applyNumberFormat="1" applyFont="1" applyFill="1" applyBorder="1" applyAlignment="1">
      <alignment horizontal="right" vertical="center" wrapText="1"/>
    </xf>
    <xf numFmtId="167" fontId="202" fillId="26" borderId="85" xfId="0" applyNumberFormat="1" applyFont="1" applyFill="1" applyBorder="1" applyAlignment="1">
      <alignment horizontal="right" vertical="center" wrapText="1"/>
    </xf>
  </cellXfs>
  <cellStyles count="38">
    <cellStyle name="Hyperlink" xfId="5"/>
    <cellStyle name="Normal 2" xfId="31"/>
    <cellStyle name="normal 3" xfId="4"/>
    <cellStyle name="Гиперссылка" xfId="7" builtinId="8"/>
    <cellStyle name="Гиперссылка 2" xfId="25"/>
    <cellStyle name="Гиперссылка 3" xfId="33"/>
    <cellStyle name="Гиперссылка 4" xfId="35"/>
    <cellStyle name="Заголовок" xfId="17"/>
    <cellStyle name="ЗаголовокСтолбца" xfId="11"/>
    <cellStyle name="Значение" xfId="12"/>
    <cellStyle name="Обычный" xfId="0" builtinId="0"/>
    <cellStyle name="Обычный 10" xfId="15"/>
    <cellStyle name="Обычный 10 7" xfId="8"/>
    <cellStyle name="Обычный 13" xfId="29"/>
    <cellStyle name="Обычный 13 2" xfId="30"/>
    <cellStyle name="Обычный 2" xfId="6"/>
    <cellStyle name="Обычный 2 10 2 2" xfId="26"/>
    <cellStyle name="Обычный 2 11" xfId="3"/>
    <cellStyle name="Обычный 2 2" xfId="19"/>
    <cellStyle name="Обычный 2 2 2" xfId="28"/>
    <cellStyle name="Обычный 2 5" xfId="22"/>
    <cellStyle name="Обычный 2_НВВ - сети долгосрочный (15.07) - передано на оформление 2" xfId="27"/>
    <cellStyle name="Обычный 3 3" xfId="2"/>
    <cellStyle name="Обычный 7" xfId="24"/>
    <cellStyle name="Обычный_PRIL1.ELECTR 2 2" xfId="9"/>
    <cellStyle name="Обычный_ЖКУ_проект3 2 2" xfId="10"/>
    <cellStyle name="Обычный_Формы 2-РЭК и  3-РЭК " xfId="14"/>
    <cellStyle name="Обычный_ШАБЛОН_Запрос в Рэки по тарифам 2" xfId="34"/>
    <cellStyle name="Процентный" xfId="1" builtinId="5"/>
    <cellStyle name="Процентный 2" xfId="36"/>
    <cellStyle name="Процентный 2 2" xfId="21"/>
    <cellStyle name="Процентный 3" xfId="37"/>
    <cellStyle name="Финансовый 2" xfId="23"/>
    <cellStyle name="Формула" xfId="18"/>
    <cellStyle name="Формула_GRES.2007.5" xfId="20"/>
    <cellStyle name="Формула_НВВ - сети долгосрочный (15.07) - передано на оформление" xfId="13"/>
    <cellStyle name="ФормулаВБ" xfId="16"/>
    <cellStyle name="ФормулаВБ 2" xfId="32"/>
  </cellStyles>
  <dxfs count="17">
    <dxf>
      <font>
        <b/>
        <i val="0"/>
        <color theme="0"/>
      </font>
      <fill>
        <patternFill>
          <bgColor rgb="FFC00000"/>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6174"/>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0F5994"/>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12</xdr:row>
          <xdr:rowOff>0</xdr:rowOff>
        </xdr:from>
        <xdr:to>
          <xdr:col>0</xdr:col>
          <xdr:colOff>2771775</xdr:colOff>
          <xdr:row>14</xdr:row>
          <xdr:rowOff>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ru-RU" sz="1000" b="0" i="0" u="none" strike="noStrike" baseline="0">
                  <a:solidFill>
                    <a:srgbClr val="000000"/>
                  </a:solidFill>
                  <a:latin typeface="Arial Cyr"/>
                  <a:cs typeface="Arial Cyr"/>
                </a:rPr>
                <a:t>Загрузить данные из заполненного файла</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okarev-aa\AppData\Local\Microsoft\Windows\INetCache\Content.Outlook\9PE5G3R2\&#1069;&#1047;%20&#1085;&#1072;%20&#1086;&#1089;&#1085;&#1086;&#1074;&#1077;%20&#1096;&#1072;&#1073;&#1083;&#1086;&#1085;&#1072;_REQUEST.TARIFF.EE.TSO.INDEX(v0.2)%20(002).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oseva-EV\Documents\&#1056;&#1072;&#1073;&#1086;&#1095;&#1072;&#1103;%20&#1056;&#1057;\&#1042;&#1072;&#1078;&#1085;&#1086;&#1077;%20&#1087;&#1086;%20&#1080;&#1085;&#1080;&#1094;&#1080;&#1072;&#1090;&#1080;&#1074;&#1072;&#1084;\&#1069;&#1082;&#1089;&#1087;&#1077;&#1088;&#1090;&#1085;&#1086;&#1077;%20&#1079;&#1072;&#1082;&#1083;&#1102;&#1095;&#1077;&#1085;&#1080;&#1077;\&#1042;&#1072;&#1088;&#1080;&#1072;&#1085;&#1090;%20&#1055;&#1083;&#1072;&#1090;&#1092;&#1086;&#1088;&#1084;&#1072;_ENERGY.CALC.NVV.TSO(v1.1.9a)%20&#1074;&#1077;&#1088;&#1089;&#1080;&#1103;%20&#1088;&#1077;&#1075;&#1091;&#1083;&#1103;&#1090;&#1086;&#1088;&#1072;%20&#1086;&#1090;&#1082;&#1088;&#1099;&#1090;&#1072;.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oseva-EV\Documents\&#1056;&#1072;&#1073;&#1086;&#1095;&#1072;&#1103;%20&#1060;&#1057;&#1050;\&#1082;&#1086;&#1085;&#1089;&#1086;&#1083;&#1080;&#1076;&#1072;&#1094;&#1080;&#1103;\&#1092;&#1072;&#1089;\2020\&#1064;&#1072;&#1073;&#1083;&#1086;&#1085;&#1099;\PEREDACHA%202020%20&#1056;&#1077;&#1089;&#1087;&#1091;&#1073;&#1083;&#1080;&#1082;&#1072;%20&#1041;&#1072;&#1096;&#1082;&#1086;&#1088;&#1090;&#1086;&#1089;&#1090;&#1072;&#108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okarev-aa\Documents\4.%20&#1044;&#1080;&#1085;&#1072;&#1084;&#1080;&#1082;&#1072;%20&#1048;&#1055;&#1056;%20%20&#1057;&#1069;%202011-201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vrha\Files\&#1054;&#1090;&#1076;&#1077;&#1083;%20&#1080;&#1085;&#1074;&#1077;&#1089;&#1090;&#1080;&#1094;&#1080;&#1086;&#1085;&#1085;&#1086;&#1075;&#1086;%20&#1087;&#1083;&#1072;&#1085;&#1080;&#1088;&#1086;&#1074;&#1072;&#1085;&#1080;&#1103;\!!!\!!!&#1042;&#1089;&#1077;%20&#1076;&#1083;&#1103;%20&#1048;&#1055;&#1056;%202010\&#1042;&#1077;&#1088;&#1089;&#1080;&#1080;%20&#1092;&#1080;&#1083;&#1080;&#1072;&#1083;&#1086;&#1074;\&#1047;&#1069;&#1057;\&#1048;&#1055;%202010%20&#1086;&#1090;%2028.1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босновывающие материалы"/>
      <sheetName val="Основные показатели"/>
      <sheetName val="ДПР"/>
      <sheetName val="Расчет НВВ (индексация)"/>
      <sheetName val="Расчет уе (ВЛ,КЛ)"/>
      <sheetName val="Расчет уе (ТП,КТП,РП)"/>
      <sheetName val="Баланс ЭЭ"/>
      <sheetName val="Баланс М"/>
      <sheetName val="ФОТ"/>
      <sheetName val="ИПР"/>
      <sheetName val="Аренда1"/>
      <sheetName val="Аренда2"/>
      <sheetName val="Прочие договоры"/>
      <sheetName val="Амортизация "/>
      <sheetName val="Лизинг"/>
      <sheetName val="Выпадающие ТП"/>
      <sheetName val="Трансп.налог"/>
      <sheetName val="Налог на имущество"/>
      <sheetName val="Налог на прибыль"/>
      <sheetName val="Комментарии"/>
      <sheetName val="ЭКСПЕРТНОЕ Заключение"/>
      <sheetName val="Проверка"/>
      <sheetName val="TEHSHEET"/>
      <sheetName val="et_union_hor"/>
      <sheetName val="REESTR_ORG"/>
      <sheetName val="OKOPF"/>
      <sheetName val="GUID_META_DATA"/>
      <sheetName val="modfrmRegion"/>
      <sheetName val="modfrmReestr"/>
      <sheetName val="modHTTP"/>
      <sheetName val="modCheckCyan"/>
      <sheetName val="modList01"/>
      <sheetName val="AllSheetsInThisWorkbook"/>
      <sheetName val="modReestr"/>
      <sheetName val="modfrmCheckUpdates"/>
      <sheetName val="modClassifierValidate"/>
      <sheetName val="modHyp"/>
      <sheetName val="modInstruction"/>
      <sheetName val="modProv"/>
      <sheetName val="modProvGeneralProc"/>
      <sheetName val="modUpdTemplMain"/>
      <sheetName val="modThisWorkbook"/>
      <sheetName val="modList00"/>
      <sheetName val="modList02"/>
      <sheetName val="modList03"/>
      <sheetName val="modList04"/>
      <sheetName val="modList07"/>
      <sheetName val="modList09"/>
      <sheetName val="modList10"/>
      <sheetName val="modList11"/>
      <sheetName val="modList12"/>
      <sheetName val="modList13"/>
      <sheetName val="modList14"/>
      <sheetName val="modList15"/>
      <sheetName val="modList17"/>
    </sheetNames>
    <sheetDataSet>
      <sheetData sheetId="0" refreshError="1">
        <row r="3">
          <cell r="B3" t="str">
            <v>Версия 0.2</v>
          </cell>
        </row>
      </sheetData>
      <sheetData sheetId="1" refreshError="1"/>
      <sheetData sheetId="2" refreshError="1">
        <row r="9">
          <cell r="F9" t="str">
            <v>Акционерное общество "Екатеринбургская электросетевая компания", г.Екатеринбург</v>
          </cell>
        </row>
        <row r="17">
          <cell r="F17" t="str">
            <v>2023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F2" t="str">
            <v>2010</v>
          </cell>
          <cell r="H2" t="str">
            <v>3 года</v>
          </cell>
          <cell r="K2" t="str">
            <v>Электросетевое хозяйство</v>
          </cell>
          <cell r="L2" t="str">
            <v>ВН</v>
          </cell>
        </row>
        <row r="3">
          <cell r="F3" t="str">
            <v>2011</v>
          </cell>
          <cell r="H3" t="str">
            <v>4 года</v>
          </cell>
          <cell r="K3" t="str">
            <v>Не электросетевое хозяйство</v>
          </cell>
          <cell r="L3" t="str">
            <v>СН1</v>
          </cell>
        </row>
        <row r="4">
          <cell r="F4" t="str">
            <v>2012</v>
          </cell>
          <cell r="H4" t="str">
            <v>5 лет</v>
          </cell>
          <cell r="L4" t="str">
            <v>СН2</v>
          </cell>
        </row>
        <row r="5">
          <cell r="F5" t="str">
            <v>2013</v>
          </cell>
          <cell r="L5" t="str">
            <v>НН</v>
          </cell>
        </row>
        <row r="6">
          <cell r="F6" t="str">
            <v>2014</v>
          </cell>
        </row>
        <row r="7">
          <cell r="F7" t="str">
            <v>2015</v>
          </cell>
        </row>
        <row r="8">
          <cell r="F8" t="str">
            <v>2016</v>
          </cell>
        </row>
        <row r="9">
          <cell r="F9" t="str">
            <v>2017</v>
          </cell>
        </row>
        <row r="10">
          <cell r="F10" t="str">
            <v>2018</v>
          </cell>
        </row>
        <row r="11">
          <cell r="F11" t="str">
            <v>2019</v>
          </cell>
        </row>
        <row r="12">
          <cell r="F12" t="str">
            <v>2020</v>
          </cell>
        </row>
        <row r="13">
          <cell r="F13" t="str">
            <v>2021</v>
          </cell>
        </row>
        <row r="14">
          <cell r="F14" t="str">
            <v>2022</v>
          </cell>
        </row>
        <row r="15">
          <cell r="F15" t="str">
            <v>2023</v>
          </cell>
        </row>
        <row r="16">
          <cell r="F16" t="str">
            <v>2024</v>
          </cell>
        </row>
      </sheetData>
      <sheetData sheetId="26" refreshError="1"/>
      <sheetData sheetId="27" refreshError="1"/>
      <sheetData sheetId="28" refreshError="1">
        <row r="2">
          <cell r="A2" t="str">
            <v>1 10 51 | Полные товарищества</v>
          </cell>
        </row>
        <row r="3">
          <cell r="A3" t="str">
            <v>1 10 64 | Товарищества на вере (коммандитные товарищества)</v>
          </cell>
        </row>
        <row r="4">
          <cell r="A4" t="str">
            <v>1 22 47 | Публичные акционерные общества</v>
          </cell>
        </row>
        <row r="5">
          <cell r="A5" t="str">
            <v>1 22 67 | Непубличные акционерные общества</v>
          </cell>
        </row>
        <row r="6">
          <cell r="A6" t="str">
            <v>1 23 00 | Общества с ограниченной ответственностью</v>
          </cell>
        </row>
        <row r="7">
          <cell r="A7" t="str">
            <v>1 30 00 | Хозяйственные партнерства</v>
          </cell>
        </row>
        <row r="8">
          <cell r="A8" t="str">
            <v>1 41 53 | Сельскохозяйственные артели (колхозы)</v>
          </cell>
        </row>
        <row r="9">
          <cell r="A9" t="str">
            <v>1 41 54 | Рыболовецкие артели (колхозы)</v>
          </cell>
        </row>
        <row r="10">
          <cell r="A10" t="str">
            <v>1 41 55 | Кооперативные хозяйства (коопхозы)</v>
          </cell>
        </row>
        <row r="11">
          <cell r="A11" t="str">
            <v>1 42 00 | Производственные кооперативы (кроме сельскохозяйственных производственных кооперативов)</v>
          </cell>
        </row>
        <row r="12">
          <cell r="A12" t="str">
            <v>1 53 00 | Крестьянские (фермерские) хозяйства</v>
          </cell>
        </row>
        <row r="13">
          <cell r="A13" t="str">
            <v>1 90 00 | Прочие юридические лица, являющиеся коммерческими организациями</v>
          </cell>
        </row>
        <row r="14">
          <cell r="A14" t="str">
            <v>2 01 01 | Гаражные и гаражно-строительные кооперативы</v>
          </cell>
        </row>
        <row r="15">
          <cell r="A15" t="str">
            <v>2 01 02 | Жилищные или жилищно-строительные кооперативы</v>
          </cell>
        </row>
        <row r="16">
          <cell r="A16" t="str">
            <v>2 01 03 | Жилищные накопительные кооперативы</v>
          </cell>
        </row>
        <row r="17">
          <cell r="A17" t="str">
            <v>2 01 04 | Кредитные потребительские кооперативы</v>
          </cell>
        </row>
        <row r="18">
          <cell r="A18" t="str">
            <v>2 01 05 | Кредитные потребительские кооперативы граждан</v>
          </cell>
        </row>
        <row r="19">
          <cell r="A19" t="str">
            <v>2 01 06 | Кредитные кооперативы второго уровня</v>
          </cell>
        </row>
        <row r="20">
          <cell r="A20" t="str">
            <v>2 01 07 | Потребительские общества</v>
          </cell>
        </row>
        <row r="21">
          <cell r="A21" t="str">
            <v>2 01 08 | Общества взаимного страхования</v>
          </cell>
        </row>
        <row r="22">
          <cell r="A22" t="str">
            <v>2 01 09 | Сельскохозяйственные потребительские перерабатывающие кооперативы</v>
          </cell>
        </row>
        <row r="23">
          <cell r="A23" t="str">
            <v>2 01 10 | Сельскохозяйственные потребительские сбытовые (торговые) кооперативы</v>
          </cell>
        </row>
        <row r="24">
          <cell r="A24" t="str">
            <v>2 01 11 | Сельскохозяйственные потребительские обслуживающие кооперативы</v>
          </cell>
        </row>
        <row r="25">
          <cell r="A25" t="str">
            <v>2 01 12 | Сельскохозяйственные потребительские снабженческие кооперативы</v>
          </cell>
        </row>
        <row r="26">
          <cell r="A26" t="str">
            <v>2 01 15 | Сельскохозяйственные потребительские животноводческие кооперативы</v>
          </cell>
        </row>
        <row r="27">
          <cell r="A27" t="str">
            <v>2 01 16 | Сельскохозяйственные потребительские растениеводческие кооперативы</v>
          </cell>
        </row>
        <row r="28">
          <cell r="A28" t="str">
            <v>2 01 21 | Фонды проката</v>
          </cell>
        </row>
        <row r="29">
          <cell r="A29" t="str">
            <v>2 02 01 | Политические партии</v>
          </cell>
        </row>
        <row r="30">
          <cell r="A30" t="str">
            <v>2 02 02 | Профсоюзные организации</v>
          </cell>
        </row>
        <row r="31">
          <cell r="A31" t="str">
            <v>2 02 10 | Общественные движения</v>
          </cell>
        </row>
        <row r="32">
          <cell r="A32" t="str">
            <v>2 02 11 | Органы общественной самодеятельности</v>
          </cell>
        </row>
        <row r="33">
          <cell r="A33" t="str">
            <v>2 02 17 | Территориальные общественные самоуправления</v>
          </cell>
        </row>
        <row r="34">
          <cell r="A34" t="str">
            <v>2 06 01 | Ассоциации (союзы) экономического взаимодействия субъектов Российской Федерации</v>
          </cell>
        </row>
        <row r="35">
          <cell r="A35" t="str">
            <v>2 06 03 | Советы муниципальных образований субъектов Российской Федерации</v>
          </cell>
        </row>
        <row r="36">
          <cell r="A36" t="str">
            <v>2 06 04 | Союзы (ассоциации) кредитных кооперативов</v>
          </cell>
        </row>
        <row r="37">
          <cell r="A37" t="str">
            <v>2 06 05 | Союзы (ассоциации) кооперативов</v>
          </cell>
        </row>
        <row r="38">
          <cell r="A38" t="str">
            <v>2 06 06 | Союзы (ассоциации) общественных объединений</v>
          </cell>
        </row>
        <row r="39">
          <cell r="A39" t="str">
            <v>2 06 07 | Союзы (ассоциации) общин малочисленных народов</v>
          </cell>
        </row>
        <row r="40">
          <cell r="A40" t="str">
            <v>2 06 08 | Союзы потребительских обществ</v>
          </cell>
        </row>
        <row r="41">
          <cell r="A41" t="str">
            <v>2 06 09 | Адвокатские палаты</v>
          </cell>
        </row>
        <row r="42">
          <cell r="A42" t="str">
            <v>2 06 10 | Нотариальные палаты</v>
          </cell>
        </row>
        <row r="43">
          <cell r="A43" t="str">
            <v>2 06 11 | Торгово-промышленные палаты</v>
          </cell>
        </row>
        <row r="44">
          <cell r="A44" t="str">
            <v>2 06 12 | Объединения работодателей</v>
          </cell>
        </row>
        <row r="45">
          <cell r="A45" t="str">
            <v>2 06 13 | Объединения фермерских хозяйств</v>
          </cell>
        </row>
        <row r="46">
          <cell r="A46" t="str">
            <v>2 06 14 | Некоммерческие партнерства</v>
          </cell>
        </row>
        <row r="47">
          <cell r="A47" t="str">
            <v>2 06 15 | Адвокатские бюро</v>
          </cell>
        </row>
        <row r="48">
          <cell r="A48" t="str">
            <v>2 06 16 | Коллегии адвокатов</v>
          </cell>
        </row>
        <row r="49">
          <cell r="A49" t="str">
            <v>2 06 19 | Саморегулируемые организации</v>
          </cell>
        </row>
        <row r="50">
          <cell r="A50" t="str">
            <v>2 06 20 | Объединения (ассоциации и союзы) благотворительных организаций</v>
          </cell>
        </row>
        <row r="51">
          <cell r="A51" t="str">
            <v>2 07 02 | Садоводческие или огороднические некоммерческие товарищества</v>
          </cell>
        </row>
        <row r="52">
          <cell r="A52" t="str">
            <v>2 07 16 | Товарищества собственников жилья</v>
          </cell>
        </row>
        <row r="53">
          <cell r="A53" t="str">
            <v>2 11 00 | Казачьи общества, внесенные в государственный реестр казачьих обществ в Российской Федерации</v>
          </cell>
        </row>
        <row r="54">
          <cell r="A54" t="str">
            <v>2 12 00 | Общины коренных малочисленных народов Российской Федерации</v>
          </cell>
        </row>
        <row r="55">
          <cell r="A55" t="str">
            <v>3 00 01 | Представительства юридических лиц</v>
          </cell>
        </row>
        <row r="56">
          <cell r="A56" t="str">
            <v>3 00 02 | Филиалы юридических лиц</v>
          </cell>
        </row>
        <row r="57">
          <cell r="A57" t="str">
            <v>3 00 03 | Обособленные подразделения юридических лиц</v>
          </cell>
        </row>
        <row r="58">
          <cell r="A58" t="str">
            <v>3 00 04 | Структурные подразделения обособленных подразделений юридических лиц</v>
          </cell>
        </row>
        <row r="59">
          <cell r="A59" t="str">
            <v>3 00 05 | Паевые инвестиционные фонды</v>
          </cell>
        </row>
        <row r="60">
          <cell r="A60" t="str">
            <v>3 00 06 | Простые товарищества</v>
          </cell>
        </row>
        <row r="61">
          <cell r="A61" t="str">
            <v>3 00 08 | Районные суды, городские суды, межрайонные суды (районные суды)</v>
          </cell>
        </row>
        <row r="62">
          <cell r="A62" t="str">
            <v>4 00 01 | Межправительственные международные организации</v>
          </cell>
        </row>
        <row r="63">
          <cell r="A63" t="str">
            <v>4 00 02 | Неправительственные международные организации</v>
          </cell>
        </row>
        <row r="64">
          <cell r="A64" t="str">
            <v>5 01 01 | Главы крестьянских (фермерских) хозяйств</v>
          </cell>
        </row>
        <row r="65">
          <cell r="A65" t="str">
            <v>5 01 02 | Индивидуальные предприниматели</v>
          </cell>
        </row>
        <row r="66">
          <cell r="A66" t="str">
            <v>5 02 01 | Адвокаты, учредившие адвокатский кабинет</v>
          </cell>
        </row>
        <row r="67">
          <cell r="A67" t="str">
            <v>5 02 02 | Нотариусы, занимающиеся частной практикой</v>
          </cell>
        </row>
        <row r="68">
          <cell r="A68" t="str">
            <v>6 51 41 | Федеральные казенные предприятия</v>
          </cell>
        </row>
        <row r="69">
          <cell r="A69" t="str">
            <v>6 51 42 | Казенные предприятия субъектов Российской Федерации</v>
          </cell>
        </row>
        <row r="70">
          <cell r="A70" t="str">
            <v>6 51 43 | Муниципальные казенные предприятия</v>
          </cell>
        </row>
        <row r="71">
          <cell r="A71" t="str">
            <v>6 52 41 | Федеральные государственные унитарные предприятия</v>
          </cell>
        </row>
        <row r="72">
          <cell r="A72" t="str">
            <v>6 52 42 | Государственные унитарные предприятия субъектов Российской Федерации</v>
          </cell>
        </row>
        <row r="73">
          <cell r="A73" t="str">
            <v>6 52 43 | Муниципальные унитарные предприятия</v>
          </cell>
        </row>
        <row r="74">
          <cell r="A74" t="str">
            <v>7 04 01 | Благотворительные фонды</v>
          </cell>
        </row>
        <row r="75">
          <cell r="A75" t="str">
            <v>7 04 02 | Негосударственные пенсионные фонды</v>
          </cell>
        </row>
        <row r="76">
          <cell r="A76" t="str">
            <v>7 04 03 | Общественные фонды</v>
          </cell>
        </row>
        <row r="77">
          <cell r="A77" t="str">
            <v>7 04 04 | Экологические фонды</v>
          </cell>
        </row>
        <row r="78">
          <cell r="A78" t="str">
            <v>7 14 00 | Автономные некоммерческие организации</v>
          </cell>
        </row>
        <row r="79">
          <cell r="A79" t="str">
            <v>7 15 00 | Религиозные организации</v>
          </cell>
        </row>
        <row r="80">
          <cell r="A80" t="str">
            <v>7 16 01 | Государственные корпорации</v>
          </cell>
        </row>
        <row r="81">
          <cell r="A81" t="str">
            <v>7 16 02 | Государственные компании</v>
          </cell>
        </row>
        <row r="82">
          <cell r="A82" t="str">
            <v>7 16 10 | Отделения иностранных некоммерческих неправительственных организаций</v>
          </cell>
        </row>
        <row r="83">
          <cell r="A83" t="str">
            <v>7 51 01 | Федеральные государственные автономные учреждения</v>
          </cell>
        </row>
        <row r="84">
          <cell r="A84" t="str">
            <v>7 51 03 | Федеральные государственные бюджетные учреждения</v>
          </cell>
        </row>
        <row r="85">
          <cell r="A85" t="str">
            <v>7 51 04 | Федеральные государственные казенные учреждения</v>
          </cell>
        </row>
        <row r="86">
          <cell r="A86" t="str">
            <v>7 52 01 | Государственные автономные учреждения субъектов Российской Федерации</v>
          </cell>
        </row>
        <row r="87">
          <cell r="A87" t="str">
            <v>7 52 03 | Государственные бюджетные учреждения субъектов Российской Федерации</v>
          </cell>
        </row>
        <row r="88">
          <cell r="A88" t="str">
            <v>7 52 04 | Государственные казенные учреждения субъектов Российской Федерации</v>
          </cell>
        </row>
        <row r="89">
          <cell r="A89" t="str">
            <v>7 53 00 | Государственные академии наук</v>
          </cell>
        </row>
        <row r="90">
          <cell r="A90" t="str">
            <v>7 54 01 | Муниципальные автономные учреждения</v>
          </cell>
        </row>
        <row r="91">
          <cell r="A91" t="str">
            <v>7 54 03 | Муниципальные бюджетные учреждения</v>
          </cell>
        </row>
        <row r="92">
          <cell r="A92" t="str">
            <v>7 54 04 | Муниципальные казенные учреждения</v>
          </cell>
        </row>
        <row r="93">
          <cell r="A93" t="str">
            <v>7 55 00 | Частные учреждения</v>
          </cell>
        </row>
        <row r="94">
          <cell r="A94" t="str">
            <v>7 55 02 | Благотворительные учреждения</v>
          </cell>
        </row>
        <row r="95">
          <cell r="A95" t="str">
            <v>7 55 05 | Общественные учреждения</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modVLDProv"/>
      <sheetName val="modCommandButton"/>
      <sheetName val="modVLDProvLIST_MO"/>
      <sheetName val="modfrmRegion"/>
      <sheetName val="modNoContract"/>
      <sheetName val="Титульный"/>
      <sheetName val="modCheckCyan"/>
      <sheetName val="modDOC"/>
      <sheetName val="Перечень форм"/>
      <sheetName val="Сопроводительные материалы"/>
      <sheetName val="Библиотека документов"/>
      <sheetName val="Регионы аналоги"/>
      <sheetName val="PATTERN_COSTS"/>
      <sheetName val="3_Форма раскрытия информации"/>
      <sheetName val="4_Полезный отпуск"/>
      <sheetName val="5_ЛЭП у.е"/>
      <sheetName val="6 _ПС у.е"/>
      <sheetName val="7_Свод УЕ "/>
      <sheetName val="4.1"/>
      <sheetName val="4.2. расчет K_об"/>
      <sheetName val="Прил. 1"/>
      <sheetName val="Прил. 2-6"/>
      <sheetName val="индекс эффективности ОПР"/>
      <sheetName val="modLT"/>
      <sheetName val="баз. ур. подк. расх. "/>
      <sheetName val="8_Расчет НВВ "/>
      <sheetName val="9 Тариф"/>
      <sheetName val="9_Расчет тарифов"/>
      <sheetName val="9 Тариф снизу"/>
      <sheetName val="ЭЗ"/>
      <sheetName val="11_Корректировка НВВ"/>
      <sheetName val="12_Сырье и материалы"/>
      <sheetName val="modMaterials"/>
      <sheetName val="13_РПР Ремонт "/>
      <sheetName val="modRPR_Repair"/>
      <sheetName val="14_Ремонты ЭСХ"/>
      <sheetName val="modESX_Repair"/>
      <sheetName val="15_Информация по ТО"/>
      <sheetName val="modInformation_TO"/>
      <sheetName val="modStaff"/>
      <sheetName val="16_Персонал"/>
      <sheetName val="modPpr"/>
      <sheetName val="TECHSHEET"/>
      <sheetName val="17_ППР"/>
      <sheetName val="18_ФСК"/>
      <sheetName val="19_Аренда ЭСХ факт"/>
      <sheetName val="modRent_ESX_FACT"/>
      <sheetName val="modCONS_STRUCT_FACT"/>
      <sheetName val="20_Структура потребления факт"/>
      <sheetName val="modRent_ESX_PLAN"/>
      <sheetName val="modCONS_STRUCT_PLAN"/>
      <sheetName val="21_Аренда ЭСХ план"/>
      <sheetName val="22_Структура потребления план"/>
      <sheetName val="23_Лизинг ЭСХ факт"/>
      <sheetName val="modLEASING_ESX_FACT"/>
      <sheetName val="24_Лизинг ЭСХ план"/>
      <sheetName val="modLEASING_ESX_PLAN"/>
      <sheetName val="25_Аренда прочее им. факт"/>
      <sheetName val="modRENT_OTHER_FACT"/>
      <sheetName val="26_Аренда прочее им. план "/>
      <sheetName val="modRENT_OTHER_PLAN"/>
      <sheetName val="27_Лизинг прочее им. факт"/>
      <sheetName val="modLEASING_OTHER_FACT"/>
      <sheetName val="28_Лизинг прочее им. план"/>
      <sheetName val="modLEASING_OTHER_PLAN"/>
      <sheetName val="modRENT_FACT"/>
      <sheetName val="29_Аренда земли факт"/>
      <sheetName val="30_Аренда земли план"/>
      <sheetName val="modRENT_PLAN"/>
      <sheetName val="modNPR"/>
      <sheetName val="31_Прочие НПР "/>
      <sheetName val="modCalcAmortFact"/>
      <sheetName val="32_Расчет амортизации факт"/>
      <sheetName val="32_Расчет амортизации факт макс"/>
      <sheetName val="modCalcAmortFactMax"/>
      <sheetName val="modCalcAmortPlan"/>
      <sheetName val="33_Расчет Амортизации план"/>
      <sheetName val="34_Амортизация свод "/>
      <sheetName val="35_Средняя стоимость ОС"/>
      <sheetName val="36_Прибыль"/>
      <sheetName val="37_Факт потери"/>
      <sheetName val="modLosses"/>
      <sheetName val="modProceedsFact"/>
      <sheetName val="38_товарная выручка факт"/>
      <sheetName val="39_ФСК факт"/>
      <sheetName val="40_ИПР факт "/>
      <sheetName val="41_Бездоговор"/>
      <sheetName val="42_финансовые показатели"/>
      <sheetName val="modProfit"/>
      <sheetName val="43_Депозиты"/>
      <sheetName val="modDeposits"/>
      <sheetName val="modCredit"/>
      <sheetName val="44_кредиты"/>
      <sheetName val="modInstruction"/>
      <sheetName val="modSheetTitle"/>
      <sheetName val="modUncontrolledExpenses"/>
      <sheetName val="modDocs"/>
      <sheetName val="tech"/>
      <sheetName val="45_НВВ РСК"/>
      <sheetName val="46_PEREDACHA.XX.FACT.EXPENSES"/>
      <sheetName val="47_PEREDACHA.M.ХХ Индекс"/>
      <sheetName val="modfrmReestr"/>
      <sheetName val="modReestr"/>
      <sheetName val="REESTR_MO"/>
      <sheetName val="REESTR_LOCATION"/>
      <sheetName val="REESTR_STREET"/>
      <sheetName val="REESTR_ORG"/>
      <sheetName val="modPass"/>
      <sheetName val="Бухгалтерский баланс. Раздел А"/>
      <sheetName val="Бухгалтерский баланс. Раздел П"/>
      <sheetName val="Отчет о финансовых результатах"/>
      <sheetName val="Стоимость активов"/>
      <sheetName val="Оценка ликвидности"/>
      <sheetName val="Оценка фин. уст"/>
      <sheetName val="Оценка дел. активность"/>
      <sheetName val="Обоб. анализ"/>
      <sheetName val="Комментарии"/>
      <sheetName val="Проверка"/>
      <sheetName val="modfrmDocumentPicker"/>
      <sheetName val="modDocumentsAPI"/>
      <sheetName val="SELECTED_DOCS"/>
      <sheetName val="DOCS_DEPENDENCY"/>
      <sheetName val="modGetGeoBase"/>
      <sheetName val="modVLDProvGeneralProc"/>
      <sheetName val="modUpdTemplMain"/>
      <sheetName val="modfrmCheckUpdates"/>
      <sheetName val="modIHLCommandBar"/>
      <sheetName val="modGeneralProcedures"/>
      <sheetName val="modInfo"/>
      <sheetName val="modHLIcons"/>
      <sheetName val="modfrmDateChoose"/>
      <sheetName val="modfrmActivity"/>
      <sheetName val="modTech"/>
      <sheetName val="modfrmURL"/>
    </sheetNames>
    <sheetDataSet>
      <sheetData sheetId="0">
        <row r="3">
          <cell r="B3" t="str">
            <v>Версия 1.1.9a</v>
          </cell>
        </row>
      </sheetData>
      <sheetData sheetId="1"/>
      <sheetData sheetId="2"/>
      <sheetData sheetId="3"/>
      <sheetData sheetId="4"/>
      <sheetData sheetId="5"/>
      <sheetData sheetId="6"/>
      <sheetData sheetId="7">
        <row r="5">
          <cell r="E5" t="str">
            <v>Республика Хакасия</v>
          </cell>
        </row>
        <row r="7">
          <cell r="E7" t="str">
            <v>Версия регулятора</v>
          </cell>
        </row>
        <row r="9">
          <cell r="E9" t="str">
            <v>Черногорский филиал ООО "Энергосервис"</v>
          </cell>
        </row>
        <row r="13">
          <cell r="E13" t="str">
            <v>4212038927</v>
          </cell>
        </row>
        <row r="14">
          <cell r="E14" t="str">
            <v>190343001</v>
          </cell>
        </row>
        <row r="17">
          <cell r="E17" t="str">
            <v>Долгосрочная индексация</v>
          </cell>
        </row>
        <row r="19">
          <cell r="E19">
            <v>2021</v>
          </cell>
        </row>
        <row r="21">
          <cell r="E21" t="str">
            <v>5</v>
          </cell>
        </row>
        <row r="23">
          <cell r="E23">
            <v>2021</v>
          </cell>
        </row>
        <row r="32">
          <cell r="E32" t="str">
            <v>Филиал ПАО "МРСК Сибири" -  "Хакасэнерго"</v>
          </cell>
        </row>
      </sheetData>
      <sheetData sheetId="8"/>
      <sheetData sheetId="9"/>
      <sheetData sheetId="10"/>
      <sheetData sheetId="11"/>
      <sheetData sheetId="12"/>
      <sheetData sheetId="13">
        <row r="16">
          <cell r="F16">
            <v>9346</v>
          </cell>
          <cell r="G16">
            <v>1.49</v>
          </cell>
          <cell r="H16">
            <v>10263</v>
          </cell>
          <cell r="I16">
            <v>1.5</v>
          </cell>
        </row>
        <row r="26">
          <cell r="F26">
            <v>-19.600000000000001</v>
          </cell>
          <cell r="G26">
            <v>1.05</v>
          </cell>
          <cell r="H26">
            <v>5</v>
          </cell>
          <cell r="I26">
            <v>1.01</v>
          </cell>
          <cell r="J26">
            <v>75</v>
          </cell>
          <cell r="K26">
            <v>1.06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3">
          <cell r="K3" t="str">
            <v>1</v>
          </cell>
          <cell r="L3">
            <v>2014</v>
          </cell>
          <cell r="O3" t="str">
            <v>Договор аренды</v>
          </cell>
          <cell r="P3" t="str">
            <v>новый</v>
          </cell>
          <cell r="Q3" t="str">
            <v>да</v>
          </cell>
        </row>
        <row r="4">
          <cell r="K4" t="str">
            <v>3</v>
          </cell>
          <cell r="L4">
            <v>2015</v>
          </cell>
          <cell r="O4" t="str">
            <v>Договор субаренды</v>
          </cell>
          <cell r="P4" t="str">
            <v>расторгнут</v>
          </cell>
          <cell r="Q4" t="str">
            <v>нет</v>
          </cell>
        </row>
        <row r="5">
          <cell r="K5" t="str">
            <v>4</v>
          </cell>
          <cell r="L5">
            <v>2016</v>
          </cell>
          <cell r="P5" t="str">
            <v>действующий</v>
          </cell>
          <cell r="Q5" t="str">
            <v>получен отказ в регистрации</v>
          </cell>
        </row>
        <row r="6">
          <cell r="K6" t="str">
            <v>5</v>
          </cell>
          <cell r="L6">
            <v>2017</v>
          </cell>
        </row>
        <row r="7">
          <cell r="L7">
            <v>2018</v>
          </cell>
        </row>
        <row r="8">
          <cell r="L8">
            <v>2019</v>
          </cell>
        </row>
        <row r="9">
          <cell r="L9">
            <v>2020</v>
          </cell>
        </row>
        <row r="10">
          <cell r="L10">
            <v>2021</v>
          </cell>
          <cell r="O10" t="str">
            <v>да</v>
          </cell>
        </row>
        <row r="11">
          <cell r="L11">
            <v>2022</v>
          </cell>
          <cell r="O11" t="str">
            <v>нет</v>
          </cell>
        </row>
        <row r="12">
          <cell r="L12">
            <v>2023</v>
          </cell>
        </row>
        <row r="13">
          <cell r="E13" t="str">
            <v>да</v>
          </cell>
          <cell r="L13">
            <v>2024</v>
          </cell>
        </row>
        <row r="14">
          <cell r="E14" t="str">
            <v>нет</v>
          </cell>
          <cell r="L14">
            <v>2025</v>
          </cell>
        </row>
        <row r="15">
          <cell r="L15">
            <v>2026</v>
          </cell>
        </row>
        <row r="16">
          <cell r="L16">
            <v>2027</v>
          </cell>
        </row>
        <row r="17">
          <cell r="E17" t="str">
            <v>Январь</v>
          </cell>
          <cell r="L17">
            <v>2028</v>
          </cell>
        </row>
        <row r="18">
          <cell r="E18" t="str">
            <v>Февраль</v>
          </cell>
          <cell r="L18">
            <v>2029</v>
          </cell>
        </row>
        <row r="19">
          <cell r="E19" t="str">
            <v>Март</v>
          </cell>
          <cell r="L19">
            <v>2030</v>
          </cell>
        </row>
        <row r="20">
          <cell r="E20" t="str">
            <v>Апрель</v>
          </cell>
          <cell r="L20">
            <v>2031</v>
          </cell>
        </row>
        <row r="21">
          <cell r="E21" t="str">
            <v>Май</v>
          </cell>
          <cell r="L21">
            <v>2032</v>
          </cell>
          <cell r="N21" t="str">
            <v>ВН</v>
          </cell>
        </row>
        <row r="22">
          <cell r="E22" t="str">
            <v>Июнь</v>
          </cell>
          <cell r="L22">
            <v>2033</v>
          </cell>
          <cell r="N22" t="str">
            <v>СН1</v>
          </cell>
        </row>
        <row r="23">
          <cell r="E23" t="str">
            <v>Июль</v>
          </cell>
          <cell r="K23">
            <v>2021</v>
          </cell>
          <cell r="L23">
            <v>2034</v>
          </cell>
          <cell r="N23" t="str">
            <v>СН2</v>
          </cell>
        </row>
        <row r="24">
          <cell r="E24" t="str">
            <v>Август</v>
          </cell>
          <cell r="K24">
            <v>2022</v>
          </cell>
          <cell r="N24" t="str">
            <v>НН</v>
          </cell>
        </row>
        <row r="25">
          <cell r="E25" t="str">
            <v>Сентябрь</v>
          </cell>
          <cell r="K25">
            <v>2023</v>
          </cell>
          <cell r="N25" t="str">
            <v>нет</v>
          </cell>
        </row>
        <row r="26">
          <cell r="E26" t="str">
            <v>Октябрь</v>
          </cell>
          <cell r="K26">
            <v>2024</v>
          </cell>
        </row>
        <row r="27">
          <cell r="E27" t="str">
            <v>Ноябрь</v>
          </cell>
          <cell r="K27">
            <v>2025</v>
          </cell>
        </row>
        <row r="28">
          <cell r="E28" t="str">
            <v>Декабрь</v>
          </cell>
        </row>
        <row r="29">
          <cell r="N29" t="str">
            <v>КЛЭП</v>
          </cell>
        </row>
        <row r="30">
          <cell r="N30" t="str">
            <v>ВЛЭП</v>
          </cell>
        </row>
        <row r="31">
          <cell r="N31" t="str">
            <v>Подстанция</v>
          </cell>
        </row>
        <row r="32">
          <cell r="N32" t="str">
            <v>Прочее ЭСХ</v>
          </cell>
        </row>
        <row r="33">
          <cell r="N33" t="str">
            <v>Прочее не ЭСХ</v>
          </cell>
        </row>
        <row r="36">
          <cell r="N36" t="str">
            <v>собственные силы</v>
          </cell>
        </row>
        <row r="37">
          <cell r="N37" t="str">
            <v>договор подряда</v>
          </cell>
        </row>
        <row r="38">
          <cell r="K38" t="str">
            <v>Долгосрочная индексация</v>
          </cell>
        </row>
        <row r="39">
          <cell r="K39" t="str">
            <v>Затраты+</v>
          </cell>
        </row>
        <row r="40">
          <cell r="K40" t="str">
            <v xml:space="preserve">Корректировка </v>
          </cell>
          <cell r="N40" t="str">
            <v>Передача ЭЭ</v>
          </cell>
        </row>
        <row r="41">
          <cell r="K41" t="str">
            <v>Сравнение аналогов</v>
          </cell>
          <cell r="N41" t="str">
            <v>Другое</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62">
          <cell r="B62" t="str">
            <v>Вершино-Биджинское</v>
          </cell>
        </row>
        <row r="63">
          <cell r="B63" t="str">
            <v>Весенненское</v>
          </cell>
        </row>
        <row r="64">
          <cell r="B64" t="str">
            <v>Доможаковское</v>
          </cell>
        </row>
        <row r="65">
          <cell r="B65" t="str">
            <v>Калининское</v>
          </cell>
        </row>
        <row r="66">
          <cell r="B66" t="str">
            <v>Московское</v>
          </cell>
        </row>
        <row r="67">
          <cell r="B67" t="str">
            <v>Опытненское</v>
          </cell>
        </row>
        <row r="68">
          <cell r="B68" t="str">
            <v>Поселок Усть-Абакан</v>
          </cell>
        </row>
        <row r="69">
          <cell r="B69" t="str">
            <v>Райковское</v>
          </cell>
        </row>
        <row r="70">
          <cell r="B70" t="str">
            <v>Расцветовское</v>
          </cell>
        </row>
        <row r="71">
          <cell r="B71" t="str">
            <v>Сапоговское</v>
          </cell>
        </row>
        <row r="72">
          <cell r="B72" t="str">
            <v>Солнечное</v>
          </cell>
        </row>
        <row r="73">
          <cell r="B73" t="str">
            <v>Усть-Бюрское</v>
          </cell>
        </row>
        <row r="74">
          <cell r="B74" t="str">
            <v>Чарковское</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List01"/>
      <sheetName val="Инструкция"/>
      <sheetName val="Лог обновления"/>
      <sheetName val="Титульный"/>
      <sheetName val="Справочники"/>
      <sheetName val="P2.1 У.Е. 2020"/>
      <sheetName val="P2.2 У.Е. 2020"/>
      <sheetName val="4 баланс ээ"/>
      <sheetName val="5 баланс мощности"/>
      <sheetName val="Расчет ВН1"/>
      <sheetName val="НВВ РСК 2020 (I пол)"/>
      <sheetName val="НВВ РСК 2020 (II пол)"/>
      <sheetName val="НВВ РСК 2020"/>
      <sheetName val="НВВ РСК последующие года"/>
      <sheetName val="Расчет тарифов (население)"/>
      <sheetName val="Расчет котловых тарифов"/>
      <sheetName val="Расчет расх. по RAB"/>
      <sheetName val="Расчет НВВ по RAB"/>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1"/>
      <sheetName val="et_union_ver2"/>
      <sheetName val="TEHSHEET"/>
      <sheetName val="AllSheetsInThisWorkbook"/>
      <sheetName val="REESTR_ORG"/>
      <sheetName val="modInstruction"/>
      <sheetName val="modfrmCheckUpdates"/>
      <sheetName val="modHTTP"/>
      <sheetName val="modUpdTemplMain"/>
      <sheetName val="modThisWorkbook"/>
      <sheetName val="modfrmReestr"/>
      <sheetName val="modReestr"/>
      <sheetName val="modList00"/>
      <sheetName val="modList08"/>
      <sheetName val="modList10"/>
      <sheetName val="modList11"/>
      <sheetName val="modList16"/>
    </sheetNames>
    <sheetDataSet>
      <sheetData sheetId="0"/>
      <sheetData sheetId="1"/>
      <sheetData sheetId="2">
        <row r="3">
          <cell r="B3" t="str">
            <v>Версия 1.0</v>
          </cell>
        </row>
      </sheetData>
      <sheetData sheetId="3"/>
      <sheetData sheetId="4">
        <row r="7">
          <cell r="F7" t="str">
            <v>Республика Башкортостан</v>
          </cell>
        </row>
        <row r="9">
          <cell r="F9">
            <v>2020</v>
          </cell>
        </row>
      </sheetData>
      <sheetData sheetId="5">
        <row r="9">
          <cell r="G9" t="str">
            <v>ООО "Башкирские распределительные электрические сети"</v>
          </cell>
        </row>
      </sheetData>
      <sheetData sheetId="6">
        <row r="46">
          <cell r="K46">
            <v>14945.418220000043</v>
          </cell>
        </row>
      </sheetData>
      <sheetData sheetId="7">
        <row r="49">
          <cell r="K49">
            <v>64406.400000000001</v>
          </cell>
        </row>
      </sheetData>
      <sheetData sheetId="8">
        <row r="13">
          <cell r="I13">
            <v>2562.0692840000002</v>
          </cell>
        </row>
      </sheetData>
      <sheetData sheetId="9">
        <row r="13">
          <cell r="I13">
            <v>771.57339577578898</v>
          </cell>
        </row>
      </sheetData>
      <sheetData sheetId="10">
        <row r="17">
          <cell r="G17">
            <v>0</v>
          </cell>
        </row>
      </sheetData>
      <sheetData sheetId="11">
        <row r="9">
          <cell r="H9">
            <v>1758426.6489280006</v>
          </cell>
        </row>
      </sheetData>
      <sheetData sheetId="12">
        <row r="9">
          <cell r="H9">
            <v>1858925.4191108758</v>
          </cell>
        </row>
      </sheetData>
      <sheetData sheetId="13"/>
      <sheetData sheetId="14"/>
      <sheetData sheetId="15">
        <row r="22">
          <cell r="H22">
            <v>867.52545744029328</v>
          </cell>
        </row>
      </sheetData>
      <sheetData sheetId="16"/>
      <sheetData sheetId="17">
        <row r="85">
          <cell r="H85">
            <v>24066377.962000001</v>
          </cell>
        </row>
      </sheetData>
      <sheetData sheetId="18"/>
      <sheetData sheetId="19"/>
      <sheetData sheetId="20">
        <row r="11">
          <cell r="E11">
            <v>2016</v>
          </cell>
          <cell r="F11">
            <v>4.3999999999999997E-2</v>
          </cell>
          <cell r="H11">
            <v>129320.4388</v>
          </cell>
          <cell r="BL11">
            <v>825.0176367643478</v>
          </cell>
        </row>
        <row r="12">
          <cell r="E12">
            <v>2017</v>
          </cell>
          <cell r="F12">
            <v>4.3999999999999997E-2</v>
          </cell>
          <cell r="H12">
            <v>133463.45869418982</v>
          </cell>
          <cell r="BL12">
            <v>810.16618475423229</v>
          </cell>
        </row>
        <row r="13">
          <cell r="E13">
            <v>2018</v>
          </cell>
          <cell r="F13">
            <v>4.3999999999999997E-2</v>
          </cell>
          <cell r="H13">
            <v>136536.51236532023</v>
          </cell>
          <cell r="BL13">
            <v>827.81613113517017</v>
          </cell>
        </row>
        <row r="14">
          <cell r="E14">
            <v>2019</v>
          </cell>
          <cell r="F14">
            <v>4.3999999999999997E-2</v>
          </cell>
          <cell r="H14">
            <v>135992.09749166103</v>
          </cell>
          <cell r="BL14">
            <v>889.42836885280212</v>
          </cell>
        </row>
        <row r="15">
          <cell r="E15">
            <v>2020</v>
          </cell>
          <cell r="F15">
            <v>4.3999999999999997E-2</v>
          </cell>
          <cell r="H15">
            <v>120184.18769763449</v>
          </cell>
          <cell r="BL15">
            <v>896.78277507800374</v>
          </cell>
        </row>
        <row r="16">
          <cell r="E16">
            <v>2021</v>
          </cell>
          <cell r="F16">
            <v>0</v>
          </cell>
          <cell r="H16">
            <v>119225.96769763449</v>
          </cell>
          <cell r="BL16">
            <v>904.67353544197567</v>
          </cell>
        </row>
        <row r="17">
          <cell r="E17">
            <v>2022</v>
          </cell>
          <cell r="F17">
            <v>0</v>
          </cell>
          <cell r="H17">
            <v>7913.3330000000005</v>
          </cell>
          <cell r="BL17">
            <v>5.3762120000000007</v>
          </cell>
        </row>
      </sheetData>
      <sheetData sheetId="21"/>
      <sheetData sheetId="22"/>
      <sheetData sheetId="23"/>
      <sheetData sheetId="24"/>
      <sheetData sheetId="25"/>
      <sheetData sheetId="26"/>
      <sheetData sheetId="27"/>
      <sheetData sheetId="28">
        <row r="2">
          <cell r="K2" t="str">
            <v>да</v>
          </cell>
          <cell r="AB2">
            <v>2009</v>
          </cell>
          <cell r="AC2">
            <v>2009</v>
          </cell>
          <cell r="AE2">
            <v>2009</v>
          </cell>
        </row>
        <row r="3">
          <cell r="K3" t="str">
            <v>нет</v>
          </cell>
          <cell r="AB3">
            <v>2010</v>
          </cell>
          <cell r="AC3">
            <v>2010</v>
          </cell>
          <cell r="AE3">
            <v>2010</v>
          </cell>
        </row>
        <row r="4">
          <cell r="AB4">
            <v>2011</v>
          </cell>
          <cell r="AC4">
            <v>2011</v>
          </cell>
          <cell r="AE4">
            <v>2011</v>
          </cell>
        </row>
        <row r="5">
          <cell r="AB5">
            <v>2012</v>
          </cell>
          <cell r="AC5">
            <v>2012</v>
          </cell>
          <cell r="AE5">
            <v>2012</v>
          </cell>
          <cell r="AF5">
            <v>0.01</v>
          </cell>
        </row>
        <row r="6">
          <cell r="AB6">
            <v>2013</v>
          </cell>
          <cell r="AC6">
            <v>2013</v>
          </cell>
          <cell r="AE6">
            <v>2013</v>
          </cell>
          <cell r="AF6">
            <v>0.01</v>
          </cell>
        </row>
        <row r="7">
          <cell r="AB7">
            <v>2014</v>
          </cell>
          <cell r="AC7">
            <v>2014</v>
          </cell>
          <cell r="AE7">
            <v>2014</v>
          </cell>
          <cell r="AF7">
            <v>4.3999999999999997E-2</v>
          </cell>
        </row>
        <row r="8">
          <cell r="AB8">
            <v>2015</v>
          </cell>
          <cell r="AC8">
            <v>2015</v>
          </cell>
          <cell r="AE8">
            <v>2015</v>
          </cell>
          <cell r="AF8">
            <v>4.3999999999999997E-2</v>
          </cell>
        </row>
        <row r="9">
          <cell r="AB9">
            <v>2016</v>
          </cell>
          <cell r="AC9">
            <v>2016</v>
          </cell>
          <cell r="AE9">
            <v>2016</v>
          </cell>
          <cell r="AF9">
            <v>4.3999999999999997E-2</v>
          </cell>
        </row>
        <row r="10">
          <cell r="AB10">
            <v>2017</v>
          </cell>
          <cell r="AC10">
            <v>2017</v>
          </cell>
          <cell r="AE10">
            <v>2017</v>
          </cell>
          <cell r="AF10">
            <v>4.3999999999999997E-2</v>
          </cell>
        </row>
        <row r="11">
          <cell r="AB11">
            <v>2018</v>
          </cell>
          <cell r="AC11">
            <v>2018</v>
          </cell>
          <cell r="AE11">
            <v>2018</v>
          </cell>
          <cell r="AF11">
            <v>4.3999999999999997E-2</v>
          </cell>
        </row>
        <row r="12">
          <cell r="AB12">
            <v>2019</v>
          </cell>
          <cell r="AC12">
            <v>2019</v>
          </cell>
          <cell r="AE12">
            <v>2019</v>
          </cell>
          <cell r="AF12">
            <v>4.3999999999999997E-2</v>
          </cell>
        </row>
        <row r="13">
          <cell r="AB13">
            <v>2020</v>
          </cell>
          <cell r="AC13">
            <v>2020</v>
          </cell>
          <cell r="AE13">
            <v>2020</v>
          </cell>
          <cell r="AF13">
            <v>4.3999999999999997E-2</v>
          </cell>
        </row>
        <row r="14">
          <cell r="AB14">
            <v>2021</v>
          </cell>
          <cell r="AC14">
            <v>2021</v>
          </cell>
          <cell r="AE14">
            <v>2021</v>
          </cell>
        </row>
        <row r="15">
          <cell r="AB15">
            <v>2022</v>
          </cell>
          <cell r="AC15">
            <v>2022</v>
          </cell>
          <cell r="AE15">
            <v>2022</v>
          </cell>
        </row>
        <row r="16">
          <cell r="AB16">
            <v>2023</v>
          </cell>
          <cell r="AC16">
            <v>2023</v>
          </cell>
          <cell r="AE16">
            <v>2023</v>
          </cell>
        </row>
        <row r="17">
          <cell r="AB17">
            <v>2024</v>
          </cell>
          <cell r="AC17">
            <v>2024</v>
          </cell>
          <cell r="AE17">
            <v>2024</v>
          </cell>
        </row>
        <row r="18">
          <cell r="AB18">
            <v>2025</v>
          </cell>
          <cell r="AC18">
            <v>2025</v>
          </cell>
          <cell r="AE18">
            <v>2025</v>
          </cell>
        </row>
        <row r="19">
          <cell r="AB19">
            <v>2026</v>
          </cell>
          <cell r="AC19">
            <v>2026</v>
          </cell>
          <cell r="AE19">
            <v>2026</v>
          </cell>
        </row>
        <row r="20">
          <cell r="AB20">
            <v>2027</v>
          </cell>
          <cell r="AC20">
            <v>2027</v>
          </cell>
          <cell r="AE20">
            <v>2027</v>
          </cell>
        </row>
        <row r="21">
          <cell r="AB21">
            <v>2028</v>
          </cell>
          <cell r="AC21">
            <v>2028</v>
          </cell>
          <cell r="AE21">
            <v>2028</v>
          </cell>
        </row>
        <row r="22">
          <cell r="AB22">
            <v>2029</v>
          </cell>
          <cell r="AC22">
            <v>2029</v>
          </cell>
          <cell r="AE22">
            <v>2029</v>
          </cell>
        </row>
        <row r="23">
          <cell r="AB23">
            <v>2030</v>
          </cell>
          <cell r="AC23">
            <v>2030</v>
          </cell>
          <cell r="AE23">
            <v>2030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Динамика ИПР  СЭ 2011-2019"/>
      <sheetName val="0 (анкета)"/>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Вводные данные систем"/>
      <sheetName val="1.6"/>
      <sheetName val="drivers"/>
      <sheetName val="УрРасч"/>
      <sheetName val="Гр5(о)"/>
      <sheetName val="Main"/>
      <sheetName val="XLR_NoRangeSheet"/>
      <sheetName val="Сводная"/>
      <sheetName val="Титульный"/>
      <sheetName val="Constants"/>
      <sheetName val="NIUs"/>
      <sheetName val="Инструкция"/>
      <sheetName val="незав. Домодедово"/>
      <sheetName val="20 25 лет непр ст"/>
      <sheetName val="Списки"/>
      <sheetName val="2.Инфо"/>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ЗЭС"/>
      <sheetName val="Объекты 2010"/>
      <sheetName val="СводЗЭС"/>
      <sheetName val="Филиал 2"/>
      <sheetName val="Перегруппировка"/>
      <sheetName val="Незавершённое строительство"/>
      <sheetName val="Характеристика"/>
      <sheetName val="Основные фонды"/>
      <sheetName val="Тарифы"/>
      <sheetName val="Лист1"/>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W1689"/>
  <sheetViews>
    <sheetView tabSelected="1" topLeftCell="A188" zoomScaleNormal="100" workbookViewId="0">
      <selection activeCell="B158" sqref="B158:K158"/>
    </sheetView>
  </sheetViews>
  <sheetFormatPr defaultRowHeight="15" outlineLevelRow="1"/>
  <cols>
    <col min="1" max="1" width="2.7109375" style="1909" customWidth="1"/>
    <col min="2" max="2" width="11.7109375" style="1909" customWidth="1"/>
    <col min="3" max="3" width="50.7109375" style="1909" customWidth="1"/>
    <col min="4" max="11" width="15.7109375" style="1909" customWidth="1"/>
    <col min="12" max="12" width="2.7109375" style="1909" customWidth="1"/>
    <col min="13" max="13" width="70.7109375" style="1909" customWidth="1"/>
    <col min="14" max="14" width="15.7109375" style="1909" customWidth="1"/>
    <col min="15" max="15" width="40.7109375" style="1909" customWidth="1"/>
    <col min="16" max="24" width="15.7109375" style="1909" customWidth="1"/>
    <col min="25" max="16384" width="9.140625" style="1909"/>
  </cols>
  <sheetData>
    <row r="1" spans="2:13" ht="15.75">
      <c r="M1" s="1348" t="s">
        <v>964</v>
      </c>
    </row>
    <row r="2" spans="2:13" ht="15.75" customHeight="1">
      <c r="B2" s="2099" t="s">
        <v>2241</v>
      </c>
      <c r="C2" s="2099"/>
      <c r="D2" s="2099"/>
      <c r="E2" s="2099"/>
      <c r="F2" s="2099"/>
      <c r="G2" s="2099"/>
      <c r="H2" s="2099"/>
      <c r="I2" s="2099"/>
      <c r="J2" s="2099"/>
      <c r="K2" s="2099"/>
      <c r="M2" s="1349"/>
    </row>
    <row r="3" spans="2:13" ht="29.25" customHeight="1">
      <c r="B3" s="2100" t="s">
        <v>1184</v>
      </c>
      <c r="C3" s="2100"/>
      <c r="D3" s="2100"/>
      <c r="E3" s="2100"/>
      <c r="F3" s="2100"/>
      <c r="G3" s="2100"/>
      <c r="H3" s="2100"/>
      <c r="I3" s="2100"/>
      <c r="J3" s="2100"/>
      <c r="K3" s="2100"/>
      <c r="M3" s="1349"/>
    </row>
    <row r="4" spans="2:13">
      <c r="E4" s="1350" t="s">
        <v>1185</v>
      </c>
      <c r="F4" s="1972">
        <f>'0. Анкета'!C15</f>
        <v>2024</v>
      </c>
      <c r="G4" s="1888" t="s">
        <v>970</v>
      </c>
      <c r="M4" s="1349" t="s">
        <v>1186</v>
      </c>
    </row>
    <row r="5" spans="2:13" ht="18">
      <c r="F5" s="1351" t="s">
        <v>1187</v>
      </c>
      <c r="M5" s="1349"/>
    </row>
    <row r="6" spans="2:13" ht="15.75" customHeight="1">
      <c r="B6" s="2101">
        <f>'0. Анкета'!C6</f>
        <v>0</v>
      </c>
      <c r="C6" s="2101"/>
      <c r="D6" s="2101"/>
      <c r="E6" s="2101"/>
      <c r="F6" s="2101"/>
      <c r="G6" s="2101"/>
      <c r="H6" s="2101"/>
      <c r="I6" s="2101"/>
      <c r="J6" s="2101"/>
      <c r="K6" s="2101"/>
      <c r="M6" s="1349"/>
    </row>
    <row r="7" spans="2:13" ht="18">
      <c r="F7" s="1351" t="s">
        <v>1188</v>
      </c>
      <c r="M7" s="1349"/>
    </row>
    <row r="8" spans="2:13">
      <c r="M8" s="1349"/>
    </row>
    <row r="9" spans="2:13">
      <c r="M9" s="1349"/>
    </row>
    <row r="10" spans="2:13">
      <c r="M10" s="1349"/>
    </row>
    <row r="11" spans="2:13" ht="15.75" customHeight="1">
      <c r="B11" s="2099" t="s">
        <v>1189</v>
      </c>
      <c r="C11" s="2099"/>
      <c r="D11" s="2099"/>
      <c r="E11" s="2099"/>
      <c r="F11" s="2099"/>
      <c r="G11" s="2099"/>
      <c r="H11" s="2099"/>
      <c r="I11" s="2099"/>
      <c r="J11" s="2099"/>
      <c r="K11" s="2099"/>
      <c r="M11" s="1349"/>
    </row>
    <row r="12" spans="2:13">
      <c r="M12" s="1349"/>
    </row>
    <row r="13" spans="2:13" ht="18" customHeight="1">
      <c r="B13" s="2102" t="s">
        <v>1190</v>
      </c>
      <c r="C13" s="2102"/>
      <c r="D13" s="2102"/>
      <c r="E13" s="2102"/>
      <c r="F13" s="2102"/>
      <c r="G13" s="2102"/>
      <c r="H13" s="2102"/>
      <c r="I13" s="2102"/>
      <c r="J13" s="2102"/>
      <c r="K13" s="2102"/>
      <c r="M13" s="1349"/>
    </row>
    <row r="14" spans="2:13">
      <c r="M14" s="1349"/>
    </row>
    <row r="15" spans="2:13" ht="15.75" customHeight="1">
      <c r="B15" s="2103" t="s">
        <v>1191</v>
      </c>
      <c r="C15" s="2103"/>
      <c r="D15" s="2103"/>
      <c r="E15" s="2103"/>
      <c r="F15" s="2103"/>
      <c r="G15" s="2103"/>
      <c r="H15" s="2103"/>
      <c r="I15" s="2103"/>
      <c r="J15" s="2103"/>
      <c r="K15" s="2103"/>
      <c r="M15" s="1349"/>
    </row>
    <row r="16" spans="2:13" ht="15.75" customHeight="1">
      <c r="B16" s="2096" t="s">
        <v>1192</v>
      </c>
      <c r="C16" s="2096"/>
      <c r="D16" s="2097">
        <f>'0. Анкета'!C6</f>
        <v>0</v>
      </c>
      <c r="E16" s="2097"/>
      <c r="F16" s="2097"/>
      <c r="G16" s="2097"/>
      <c r="H16" s="2097"/>
      <c r="I16" s="2097"/>
      <c r="J16" s="2097"/>
      <c r="K16" s="2097"/>
      <c r="M16" s="1349"/>
    </row>
    <row r="17" spans="2:13">
      <c r="B17" s="2096" t="s">
        <v>1193</v>
      </c>
      <c r="C17" s="2096"/>
      <c r="D17" s="2097">
        <f>'0. Анкета'!C7</f>
        <v>0</v>
      </c>
      <c r="E17" s="2097"/>
      <c r="F17" s="2097"/>
      <c r="G17" s="2097"/>
      <c r="H17" s="2097"/>
      <c r="I17" s="2097"/>
      <c r="J17" s="2097"/>
      <c r="K17" s="2097"/>
      <c r="M17" s="1349"/>
    </row>
    <row r="18" spans="2:13" ht="15.75" customHeight="1">
      <c r="B18" s="2096" t="s">
        <v>1194</v>
      </c>
      <c r="C18" s="2096"/>
      <c r="D18" s="2098">
        <f>'0. Анкета'!C18</f>
        <v>0</v>
      </c>
      <c r="E18" s="2097"/>
      <c r="F18" s="2097"/>
      <c r="G18" s="2097"/>
      <c r="H18" s="2097"/>
      <c r="I18" s="2097"/>
      <c r="J18" s="2097"/>
      <c r="K18" s="2097"/>
      <c r="M18" s="1349"/>
    </row>
    <row r="19" spans="2:13" ht="15.75" customHeight="1">
      <c r="B19" s="2096" t="s">
        <v>1195</v>
      </c>
      <c r="C19" s="2096"/>
      <c r="D19" s="2098">
        <f>'0. Анкета'!C8</f>
        <v>0</v>
      </c>
      <c r="E19" s="2097"/>
      <c r="F19" s="2097"/>
      <c r="G19" s="2097"/>
      <c r="H19" s="2097"/>
      <c r="I19" s="2097"/>
      <c r="J19" s="2097"/>
      <c r="K19" s="2097"/>
      <c r="M19" s="1349"/>
    </row>
    <row r="20" spans="2:13" ht="15.75" customHeight="1">
      <c r="B20" s="2096" t="s">
        <v>1196</v>
      </c>
      <c r="C20" s="2096"/>
      <c r="D20" s="2098">
        <f>'0. Анкета'!C9</f>
        <v>0</v>
      </c>
      <c r="E20" s="2097"/>
      <c r="F20" s="2097"/>
      <c r="G20" s="2097"/>
      <c r="H20" s="2097"/>
      <c r="I20" s="2097"/>
      <c r="J20" s="2097"/>
      <c r="K20" s="2097"/>
      <c r="M20" s="1349"/>
    </row>
    <row r="21" spans="2:13" ht="15.75" customHeight="1">
      <c r="B21" s="2096" t="s">
        <v>2049</v>
      </c>
      <c r="C21" s="2096"/>
      <c r="D21" s="2098">
        <f>'0. Анкета'!C11</f>
        <v>0</v>
      </c>
      <c r="E21" s="2097"/>
      <c r="F21" s="2097"/>
      <c r="G21" s="2097"/>
      <c r="H21" s="2097"/>
      <c r="I21" s="2097"/>
      <c r="J21" s="2097"/>
      <c r="K21" s="2097"/>
      <c r="M21" s="1349"/>
    </row>
    <row r="22" spans="2:13" ht="18" customHeight="1">
      <c r="B22" s="1352">
        <v>1</v>
      </c>
      <c r="C22" s="2110" t="s">
        <v>1197</v>
      </c>
      <c r="D22" s="2110"/>
      <c r="E22" s="2110"/>
      <c r="F22" s="2110"/>
      <c r="G22" s="2110"/>
      <c r="H22" s="2110"/>
      <c r="I22" s="2110"/>
      <c r="J22" s="2110"/>
      <c r="K22" s="2110"/>
      <c r="M22" s="1349"/>
    </row>
    <row r="23" spans="2:13" ht="18">
      <c r="B23" s="1353"/>
      <c r="C23" s="1893"/>
      <c r="D23" s="1893"/>
      <c r="E23" s="1893"/>
      <c r="F23" s="1893"/>
      <c r="G23" s="1893"/>
      <c r="H23" s="1893"/>
      <c r="M23" s="1349"/>
    </row>
    <row r="24" spans="2:13">
      <c r="B24" s="2025" t="s">
        <v>1885</v>
      </c>
      <c r="C24" s="2025"/>
      <c r="D24" s="2025"/>
      <c r="E24" s="2025"/>
      <c r="F24" s="2025"/>
      <c r="G24" s="2025"/>
      <c r="H24" s="2025"/>
      <c r="I24" s="2025"/>
      <c r="J24" s="2025"/>
      <c r="K24" s="2025"/>
      <c r="M24" s="1349"/>
    </row>
    <row r="25" spans="2:13" ht="33.75" customHeight="1">
      <c r="B25" s="2025" t="str">
        <f>CONCATENATE("от ",'0. Анкета'!C22," № ",'0. Анкета'!C23," об установлении тарифов на услуги по передаче электрической энергии (мощности), долгосрочных параметров регулирования и необходимой валовой выручки с применением метода: ",'0. Анкета'!C11)</f>
        <v xml:space="preserve">от  №  об установлении тарифов на услуги по передаче электрической энергии (мощности), долгосрочных параметров регулирования и необходимой валовой выручки с применением метода: </v>
      </c>
      <c r="C25" s="2025"/>
      <c r="D25" s="2025"/>
      <c r="E25" s="2025"/>
      <c r="F25" s="2025"/>
      <c r="G25" s="2025"/>
      <c r="H25" s="2025"/>
      <c r="I25" s="2025"/>
      <c r="J25" s="2025"/>
      <c r="K25" s="2025"/>
      <c r="M25" s="1349"/>
    </row>
    <row r="26" spans="2:13" ht="18" customHeight="1">
      <c r="B26" s="1352">
        <v>2</v>
      </c>
      <c r="C26" s="2104" t="s">
        <v>1198</v>
      </c>
      <c r="D26" s="2104"/>
      <c r="E26" s="2104"/>
      <c r="F26" s="2104"/>
      <c r="G26" s="2104"/>
      <c r="H26" s="2104"/>
      <c r="I26" s="2104"/>
      <c r="J26" s="2104"/>
      <c r="K26" s="2104"/>
      <c r="M26" s="1349"/>
    </row>
    <row r="27" spans="2:13" ht="18">
      <c r="B27" s="1353"/>
      <c r="C27" s="1893"/>
      <c r="D27" s="1893"/>
      <c r="E27" s="1893"/>
      <c r="F27" s="1893"/>
      <c r="G27" s="1893"/>
      <c r="H27" s="1893"/>
      <c r="M27" s="1349"/>
    </row>
    <row r="28" spans="2:13" ht="31.5" customHeight="1">
      <c r="B28" s="2103" t="s">
        <v>1199</v>
      </c>
      <c r="C28" s="2103"/>
      <c r="D28" s="2103"/>
      <c r="E28" s="2103"/>
      <c r="F28" s="2103"/>
      <c r="G28" s="2103"/>
      <c r="H28" s="2103"/>
      <c r="I28" s="2103"/>
      <c r="J28" s="2103"/>
      <c r="K28" s="2103"/>
      <c r="M28" s="1349"/>
    </row>
    <row r="29" spans="2:13" ht="77.25" customHeight="1">
      <c r="B29" s="2105" t="s">
        <v>1200</v>
      </c>
      <c r="C29" s="2105"/>
      <c r="D29" s="2105"/>
      <c r="E29" s="2105"/>
      <c r="F29" s="2105"/>
      <c r="G29" s="2105"/>
      <c r="H29" s="2105"/>
      <c r="I29" s="2105"/>
      <c r="J29" s="2105"/>
      <c r="K29" s="2105"/>
      <c r="M29" s="1349" t="s">
        <v>1201</v>
      </c>
    </row>
    <row r="30" spans="2:13" ht="31.5" customHeight="1">
      <c r="B30" s="2025" t="str">
        <f>CONCATENATE("«Регулятором» издан приказ от ",'0. Анкета'!C27," № ",'0. Анкета'!C28,"о проведении экспертизы следующими экспертами:")</f>
        <v>«Регулятором» издан приказ от  № о проведении экспертизы следующими экспертами:</v>
      </c>
      <c r="C30" s="2025"/>
      <c r="D30" s="2025"/>
      <c r="E30" s="2025"/>
      <c r="F30" s="2025"/>
      <c r="G30" s="2025"/>
      <c r="H30" s="2025"/>
      <c r="I30" s="2025"/>
      <c r="J30" s="2025"/>
      <c r="K30" s="2025"/>
      <c r="M30" s="1349"/>
    </row>
    <row r="31" spans="2:13" ht="15.75" customHeight="1">
      <c r="B31" s="1912" t="s">
        <v>12</v>
      </c>
      <c r="C31" s="2106" t="s">
        <v>1202</v>
      </c>
      <c r="D31" s="2106"/>
      <c r="E31" s="2107" t="s">
        <v>1203</v>
      </c>
      <c r="F31" s="2108"/>
      <c r="G31" s="2109"/>
      <c r="H31" s="2106" t="s">
        <v>1204</v>
      </c>
      <c r="I31" s="2106"/>
      <c r="J31" s="2106"/>
      <c r="K31" s="2106"/>
      <c r="M31" s="1349"/>
    </row>
    <row r="32" spans="2:13">
      <c r="B32" s="1354">
        <v>1</v>
      </c>
      <c r="C32" s="2112">
        <f>'0. Анкета'!C30</f>
        <v>0</v>
      </c>
      <c r="D32" s="2113"/>
      <c r="E32" s="2112">
        <f>'0. Анкета'!C31</f>
        <v>0</v>
      </c>
      <c r="F32" s="2114"/>
      <c r="G32" s="2113"/>
      <c r="H32" s="2112">
        <f>'0. Анкета'!C32</f>
        <v>0</v>
      </c>
      <c r="I32" s="2114"/>
      <c r="J32" s="2114"/>
      <c r="K32" s="2113"/>
      <c r="M32" s="1349"/>
    </row>
    <row r="33" spans="2:13">
      <c r="B33" s="1354">
        <v>2</v>
      </c>
      <c r="C33" s="2112">
        <f>'0. Анкета'!C34</f>
        <v>0</v>
      </c>
      <c r="D33" s="2113"/>
      <c r="E33" s="2112">
        <f>'0. Анкета'!C35</f>
        <v>0</v>
      </c>
      <c r="F33" s="2114"/>
      <c r="G33" s="2113"/>
      <c r="H33" s="2112">
        <f>'0. Анкета'!C36</f>
        <v>0</v>
      </c>
      <c r="I33" s="2114"/>
      <c r="J33" s="2114"/>
      <c r="K33" s="2113"/>
      <c r="M33" s="1349"/>
    </row>
    <row r="34" spans="2:13">
      <c r="B34" s="1354">
        <v>3</v>
      </c>
      <c r="C34" s="2112">
        <f>'0. Анкета'!C38</f>
        <v>0</v>
      </c>
      <c r="D34" s="2113"/>
      <c r="E34" s="2112">
        <f>'0. Анкета'!C39</f>
        <v>0</v>
      </c>
      <c r="F34" s="2114"/>
      <c r="G34" s="2113"/>
      <c r="H34" s="2112">
        <f>'0. Анкета'!C40</f>
        <v>0</v>
      </c>
      <c r="I34" s="2114"/>
      <c r="J34" s="2114"/>
      <c r="K34" s="2113"/>
      <c r="M34" s="1349"/>
    </row>
    <row r="35" spans="2:13">
      <c r="B35" s="1913"/>
      <c r="C35" s="1893"/>
      <c r="D35" s="1893"/>
      <c r="E35" s="1893"/>
      <c r="F35" s="1893"/>
      <c r="G35" s="1893"/>
      <c r="H35" s="1893"/>
      <c r="M35" s="1349"/>
    </row>
    <row r="36" spans="2:13" ht="15.75" customHeight="1">
      <c r="B36" s="2025" t="s">
        <v>1205</v>
      </c>
      <c r="C36" s="2025"/>
      <c r="D36" s="2025"/>
      <c r="E36" s="2025"/>
      <c r="F36" s="2025"/>
      <c r="G36" s="2025"/>
      <c r="H36" s="2025"/>
      <c r="I36" s="2025"/>
      <c r="J36" s="2025"/>
      <c r="K36" s="2025"/>
      <c r="M36" s="1349"/>
    </row>
    <row r="37" spans="2:13" ht="15.75" customHeight="1">
      <c r="B37" s="2025" t="s">
        <v>1206</v>
      </c>
      <c r="C37" s="2025"/>
      <c r="D37" s="2025"/>
      <c r="E37" s="2025"/>
      <c r="F37" s="2025"/>
      <c r="G37" s="2025"/>
      <c r="H37" s="2025"/>
      <c r="I37" s="2025"/>
      <c r="J37" s="2025"/>
      <c r="K37" s="2025"/>
      <c r="M37" s="1349"/>
    </row>
    <row r="38" spans="2:13" ht="34.5" customHeight="1">
      <c r="B38" s="2025" t="s">
        <v>1207</v>
      </c>
      <c r="C38" s="2025"/>
      <c r="D38" s="2025"/>
      <c r="E38" s="2025"/>
      <c r="F38" s="2025"/>
      <c r="G38" s="2025"/>
      <c r="H38" s="2025"/>
      <c r="I38" s="2025"/>
      <c r="J38" s="2025"/>
      <c r="K38" s="2025"/>
      <c r="M38" s="1349"/>
    </row>
    <row r="39" spans="2:13" ht="85.5" customHeight="1">
      <c r="B39" s="2025" t="s">
        <v>1208</v>
      </c>
      <c r="C39" s="2025"/>
      <c r="D39" s="2025"/>
      <c r="E39" s="2025"/>
      <c r="F39" s="2025"/>
      <c r="G39" s="2025"/>
      <c r="H39" s="2025"/>
      <c r="I39" s="2025"/>
      <c r="J39" s="2025"/>
      <c r="K39" s="2025"/>
      <c r="M39" s="1349"/>
    </row>
    <row r="40" spans="2:13" ht="39.75" customHeight="1">
      <c r="B40" s="2025" t="s">
        <v>1209</v>
      </c>
      <c r="C40" s="2025"/>
      <c r="D40" s="2025"/>
      <c r="E40" s="2025"/>
      <c r="F40" s="2025"/>
      <c r="G40" s="2025"/>
      <c r="H40" s="2025"/>
      <c r="I40" s="2025"/>
      <c r="J40" s="2025"/>
      <c r="K40" s="2025"/>
      <c r="M40" s="1349"/>
    </row>
    <row r="41" spans="2:13" ht="35.25" customHeight="1">
      <c r="B41" s="2025" t="s">
        <v>1210</v>
      </c>
      <c r="C41" s="2025"/>
      <c r="D41" s="2025"/>
      <c r="E41" s="2025"/>
      <c r="F41" s="2025"/>
      <c r="G41" s="2025"/>
      <c r="H41" s="2025"/>
      <c r="I41" s="2025"/>
      <c r="J41" s="2025"/>
      <c r="K41" s="2025"/>
      <c r="M41" s="1349"/>
    </row>
    <row r="42" spans="2:13" ht="36.75" customHeight="1">
      <c r="B42" s="2111" t="s">
        <v>1211</v>
      </c>
      <c r="C42" s="2111"/>
      <c r="D42" s="2111"/>
      <c r="E42" s="2111"/>
      <c r="F42" s="2111"/>
      <c r="G42" s="2111"/>
      <c r="H42" s="2111"/>
      <c r="I42" s="2111"/>
      <c r="J42" s="2111"/>
      <c r="K42" s="2111"/>
      <c r="M42" s="2044" t="s">
        <v>1212</v>
      </c>
    </row>
    <row r="43" spans="2:13" ht="45" customHeight="1">
      <c r="B43" s="2111" t="s">
        <v>1213</v>
      </c>
      <c r="C43" s="2111"/>
      <c r="D43" s="2111"/>
      <c r="E43" s="2111"/>
      <c r="F43" s="2111"/>
      <c r="G43" s="2111"/>
      <c r="H43" s="2111"/>
      <c r="I43" s="2111"/>
      <c r="J43" s="2111"/>
      <c r="K43" s="2111"/>
      <c r="M43" s="2046"/>
    </row>
    <row r="44" spans="2:13" ht="53.25" customHeight="1">
      <c r="B44" s="2025" t="s">
        <v>1214</v>
      </c>
      <c r="C44" s="2025"/>
      <c r="D44" s="2025"/>
      <c r="E44" s="2025"/>
      <c r="F44" s="2025"/>
      <c r="G44" s="2025"/>
      <c r="H44" s="2025"/>
      <c r="I44" s="2025"/>
      <c r="J44" s="2025"/>
      <c r="K44" s="2025"/>
      <c r="M44" s="1349"/>
    </row>
    <row r="45" spans="2:13" ht="44.25" customHeight="1">
      <c r="B45" s="2025" t="s">
        <v>1215</v>
      </c>
      <c r="C45" s="2025"/>
      <c r="D45" s="2025"/>
      <c r="E45" s="2025"/>
      <c r="F45" s="2025"/>
      <c r="G45" s="2025"/>
      <c r="H45" s="2025"/>
      <c r="I45" s="2025"/>
      <c r="J45" s="2025"/>
      <c r="K45" s="2025"/>
      <c r="M45" s="1349"/>
    </row>
    <row r="46" spans="2:13" ht="60" customHeight="1">
      <c r="B46" s="2025" t="s">
        <v>1216</v>
      </c>
      <c r="C46" s="2025"/>
      <c r="D46" s="2025"/>
      <c r="E46" s="2025"/>
      <c r="F46" s="2025"/>
      <c r="G46" s="2025"/>
      <c r="H46" s="2025"/>
      <c r="I46" s="2025"/>
      <c r="J46" s="2025"/>
      <c r="K46" s="2025"/>
      <c r="M46" s="1349"/>
    </row>
    <row r="47" spans="2:13" ht="66" customHeight="1">
      <c r="B47" s="2025" t="s">
        <v>1217</v>
      </c>
      <c r="C47" s="2025"/>
      <c r="D47" s="2025"/>
      <c r="E47" s="2025"/>
      <c r="F47" s="2025"/>
      <c r="G47" s="2025"/>
      <c r="H47" s="2025"/>
      <c r="I47" s="2025"/>
      <c r="J47" s="2025"/>
      <c r="K47" s="2025"/>
      <c r="M47" s="1349"/>
    </row>
    <row r="48" spans="2:13" ht="48.75" customHeight="1">
      <c r="B48" s="2025" t="s">
        <v>1892</v>
      </c>
      <c r="C48" s="2025"/>
      <c r="D48" s="2025"/>
      <c r="E48" s="2025"/>
      <c r="F48" s="2025"/>
      <c r="G48" s="2025"/>
      <c r="H48" s="2025"/>
      <c r="I48" s="2025"/>
      <c r="J48" s="2025"/>
      <c r="K48" s="2025"/>
      <c r="M48" s="1349"/>
    </row>
    <row r="49" spans="2:13" ht="33.75" customHeight="1">
      <c r="B49" s="2025" t="s">
        <v>1218</v>
      </c>
      <c r="C49" s="2025"/>
      <c r="D49" s="2025"/>
      <c r="E49" s="2025"/>
      <c r="F49" s="2025"/>
      <c r="G49" s="2025"/>
      <c r="H49" s="2025"/>
      <c r="I49" s="2025"/>
      <c r="J49" s="2025"/>
      <c r="K49" s="2025"/>
      <c r="M49" s="1349"/>
    </row>
    <row r="50" spans="2:13" ht="59.25" customHeight="1">
      <c r="B50" s="2025" t="s">
        <v>1219</v>
      </c>
      <c r="C50" s="2025"/>
      <c r="D50" s="2025"/>
      <c r="E50" s="2025"/>
      <c r="F50" s="2025"/>
      <c r="G50" s="2025"/>
      <c r="H50" s="2025"/>
      <c r="I50" s="2025"/>
      <c r="J50" s="2025"/>
      <c r="K50" s="2025"/>
      <c r="M50" s="1349"/>
    </row>
    <row r="51" spans="2:13" ht="64.5" customHeight="1">
      <c r="B51" s="2025" t="s">
        <v>1220</v>
      </c>
      <c r="C51" s="2025"/>
      <c r="D51" s="2025"/>
      <c r="E51" s="2025"/>
      <c r="F51" s="2025"/>
      <c r="G51" s="2025"/>
      <c r="H51" s="2025"/>
      <c r="I51" s="2025"/>
      <c r="J51" s="2025"/>
      <c r="K51" s="2025"/>
      <c r="M51" s="1349"/>
    </row>
    <row r="52" spans="2:13" ht="33" customHeight="1">
      <c r="B52" s="2025" t="s">
        <v>1221</v>
      </c>
      <c r="C52" s="2025"/>
      <c r="D52" s="2025"/>
      <c r="E52" s="2025"/>
      <c r="F52" s="2025"/>
      <c r="G52" s="2025"/>
      <c r="H52" s="2025"/>
      <c r="I52" s="2025"/>
      <c r="J52" s="2025"/>
      <c r="K52" s="2025"/>
      <c r="M52" s="1349"/>
    </row>
    <row r="53" spans="2:13" ht="39.75" customHeight="1">
      <c r="B53" s="2025" t="s">
        <v>1222</v>
      </c>
      <c r="C53" s="2025"/>
      <c r="D53" s="2025"/>
      <c r="E53" s="2025"/>
      <c r="F53" s="2025"/>
      <c r="G53" s="2025"/>
      <c r="H53" s="2025"/>
      <c r="I53" s="2025"/>
      <c r="J53" s="2025"/>
      <c r="K53" s="2025"/>
      <c r="M53" s="1349"/>
    </row>
    <row r="54" spans="2:13" ht="33" customHeight="1">
      <c r="B54" s="2025" t="s">
        <v>1223</v>
      </c>
      <c r="C54" s="2025"/>
      <c r="D54" s="2025"/>
      <c r="E54" s="2025"/>
      <c r="F54" s="2025"/>
      <c r="G54" s="2025"/>
      <c r="H54" s="2025"/>
      <c r="I54" s="2025"/>
      <c r="J54" s="2025"/>
      <c r="K54" s="2025"/>
      <c r="M54" s="1349"/>
    </row>
    <row r="55" spans="2:13" ht="53.25" customHeight="1">
      <c r="B55" s="2025" t="s">
        <v>1224</v>
      </c>
      <c r="C55" s="2025"/>
      <c r="D55" s="2025"/>
      <c r="E55" s="2025"/>
      <c r="F55" s="2025"/>
      <c r="G55" s="2025"/>
      <c r="H55" s="2025"/>
      <c r="I55" s="2025"/>
      <c r="J55" s="2025"/>
      <c r="K55" s="2025"/>
      <c r="M55" s="1349"/>
    </row>
    <row r="56" spans="2:13" ht="15.75" customHeight="1">
      <c r="B56" s="2025" t="str">
        <f>CONCATENATE("20. Постановлением «Регулятора» от ",'38 ДПР'!E4," № ",'38 ДПР'!E5," об установлении долгосрочных параметров регулирования «Организации»;")</f>
        <v>20. Постановлением «Регулятора» от  №  об установлении долгосрочных параметров регулирования «Организации»;</v>
      </c>
      <c r="C56" s="2025"/>
      <c r="D56" s="2025"/>
      <c r="E56" s="2025"/>
      <c r="F56" s="2025"/>
      <c r="G56" s="2025"/>
      <c r="H56" s="2025"/>
      <c r="I56" s="2025"/>
      <c r="J56" s="2025"/>
      <c r="K56" s="2025"/>
      <c r="M56" s="1349"/>
    </row>
    <row r="57" spans="2:13" ht="51.75" customHeight="1">
      <c r="B57" s="2025" t="s">
        <v>1225</v>
      </c>
      <c r="C57" s="2025"/>
      <c r="D57" s="2025"/>
      <c r="E57" s="2025"/>
      <c r="F57" s="2025"/>
      <c r="G57" s="2025"/>
      <c r="H57" s="2025"/>
      <c r="I57" s="2025"/>
      <c r="J57" s="2025"/>
      <c r="K57" s="2025"/>
      <c r="M57" s="1349"/>
    </row>
    <row r="58" spans="2:13">
      <c r="B58" s="2115"/>
      <c r="C58" s="2115"/>
      <c r="D58" s="2115"/>
      <c r="E58" s="2115"/>
      <c r="F58" s="2115"/>
      <c r="G58" s="2115"/>
      <c r="H58" s="2115"/>
      <c r="I58" s="2115"/>
      <c r="J58" s="2115"/>
      <c r="K58" s="2115"/>
      <c r="M58" s="1349" t="s">
        <v>1226</v>
      </c>
    </row>
    <row r="59" spans="2:13">
      <c r="B59" s="2115"/>
      <c r="C59" s="2115"/>
      <c r="D59" s="2115"/>
      <c r="E59" s="2115"/>
      <c r="F59" s="2115"/>
      <c r="G59" s="2115"/>
      <c r="H59" s="2115"/>
      <c r="I59" s="2115"/>
      <c r="J59" s="2115"/>
      <c r="K59" s="2115"/>
      <c r="M59" s="1349" t="s">
        <v>1226</v>
      </c>
    </row>
    <row r="60" spans="2:13">
      <c r="B60" s="2115"/>
      <c r="C60" s="2115"/>
      <c r="D60" s="2115"/>
      <c r="E60" s="2115"/>
      <c r="F60" s="2115"/>
      <c r="G60" s="2115"/>
      <c r="H60" s="2115"/>
      <c r="I60" s="2115"/>
      <c r="J60" s="2115"/>
      <c r="K60" s="2115"/>
      <c r="M60" s="1349" t="s">
        <v>1226</v>
      </c>
    </row>
    <row r="61" spans="2:13">
      <c r="B61" s="2025"/>
      <c r="C61" s="2025"/>
      <c r="D61" s="2025"/>
      <c r="E61" s="2025"/>
      <c r="F61" s="2025"/>
      <c r="G61" s="2025"/>
      <c r="H61" s="2025"/>
      <c r="M61" s="1349"/>
    </row>
    <row r="62" spans="2:13" ht="31.5" customHeight="1">
      <c r="B62" s="2025" t="s">
        <v>1227</v>
      </c>
      <c r="C62" s="2025"/>
      <c r="D62" s="2025"/>
      <c r="E62" s="2025"/>
      <c r="F62" s="2025"/>
      <c r="G62" s="2025"/>
      <c r="H62" s="2025"/>
      <c r="I62" s="2025"/>
      <c r="J62" s="2025"/>
      <c r="K62" s="2025"/>
      <c r="M62" s="1349"/>
    </row>
    <row r="63" spans="2:13">
      <c r="B63" s="1911"/>
      <c r="C63" s="1911"/>
      <c r="D63" s="1911"/>
      <c r="E63" s="1911"/>
      <c r="F63" s="1911"/>
      <c r="G63" s="1911"/>
      <c r="H63" s="1911"/>
      <c r="M63" s="1349"/>
    </row>
    <row r="64" spans="2:13" ht="31.5" customHeight="1">
      <c r="B64" s="1912" t="s">
        <v>12</v>
      </c>
      <c r="C64" s="2106" t="s">
        <v>1228</v>
      </c>
      <c r="D64" s="2106"/>
      <c r="E64" s="2106"/>
      <c r="F64" s="2106"/>
      <c r="G64" s="2106" t="s">
        <v>1229</v>
      </c>
      <c r="H64" s="2106"/>
      <c r="I64" s="2106"/>
      <c r="J64" s="2106"/>
      <c r="K64" s="2106"/>
      <c r="M64" s="1349"/>
    </row>
    <row r="65" spans="2:13">
      <c r="B65" s="1354">
        <v>1</v>
      </c>
      <c r="C65" s="2116"/>
      <c r="D65" s="2117"/>
      <c r="E65" s="2117"/>
      <c r="F65" s="2118"/>
      <c r="G65" s="2119"/>
      <c r="H65" s="2119"/>
      <c r="I65" s="2119"/>
      <c r="J65" s="2119"/>
      <c r="K65" s="2119"/>
      <c r="M65" s="1349" t="s">
        <v>1893</v>
      </c>
    </row>
    <row r="66" spans="2:13">
      <c r="B66" s="1354">
        <v>2</v>
      </c>
      <c r="C66" s="2116"/>
      <c r="D66" s="2117"/>
      <c r="E66" s="2117"/>
      <c r="F66" s="2118"/>
      <c r="G66" s="2119"/>
      <c r="H66" s="2119"/>
      <c r="I66" s="2119"/>
      <c r="J66" s="2119"/>
      <c r="K66" s="2119"/>
      <c r="M66" s="1349" t="s">
        <v>1893</v>
      </c>
    </row>
    <row r="67" spans="2:13">
      <c r="B67" s="1354">
        <v>3</v>
      </c>
      <c r="C67" s="2116"/>
      <c r="D67" s="2117"/>
      <c r="E67" s="2117"/>
      <c r="F67" s="2118"/>
      <c r="G67" s="2119"/>
      <c r="H67" s="2119"/>
      <c r="I67" s="2119"/>
      <c r="J67" s="2119"/>
      <c r="K67" s="2119"/>
      <c r="M67" s="1349" t="s">
        <v>1893</v>
      </c>
    </row>
    <row r="68" spans="2:13">
      <c r="B68" s="1354">
        <v>4</v>
      </c>
      <c r="C68" s="2116"/>
      <c r="D68" s="2117"/>
      <c r="E68" s="2117"/>
      <c r="F68" s="2118"/>
      <c r="G68" s="2119"/>
      <c r="H68" s="2119"/>
      <c r="I68" s="2119"/>
      <c r="J68" s="2119"/>
      <c r="K68" s="2119"/>
      <c r="M68" s="1349" t="s">
        <v>1893</v>
      </c>
    </row>
    <row r="69" spans="2:13">
      <c r="B69" s="1354">
        <v>5</v>
      </c>
      <c r="C69" s="2116"/>
      <c r="D69" s="2117"/>
      <c r="E69" s="2117"/>
      <c r="F69" s="2118"/>
      <c r="G69" s="2119"/>
      <c r="H69" s="2119"/>
      <c r="I69" s="2119"/>
      <c r="J69" s="2119"/>
      <c r="K69" s="2119"/>
      <c r="M69" s="1349" t="s">
        <v>1893</v>
      </c>
    </row>
    <row r="70" spans="2:13">
      <c r="B70" s="1911"/>
      <c r="C70" s="1911"/>
      <c r="D70" s="1911"/>
      <c r="E70" s="1911"/>
      <c r="F70" s="1911"/>
      <c r="G70" s="1911"/>
      <c r="H70" s="1911"/>
      <c r="M70" s="1349"/>
    </row>
    <row r="71" spans="2:13" ht="15.75" customHeight="1">
      <c r="B71" s="2025" t="s">
        <v>1230</v>
      </c>
      <c r="C71" s="2025"/>
      <c r="D71" s="2025"/>
      <c r="E71" s="2025"/>
      <c r="F71" s="2025"/>
      <c r="G71" s="2025"/>
      <c r="H71" s="2025"/>
      <c r="I71" s="2025"/>
      <c r="J71" s="2025"/>
      <c r="K71" s="2025"/>
      <c r="M71" s="1349"/>
    </row>
    <row r="72" spans="2:13">
      <c r="B72" s="1911"/>
      <c r="C72" s="1911"/>
      <c r="D72" s="1911"/>
      <c r="E72" s="1911"/>
      <c r="F72" s="1911"/>
      <c r="G72" s="1911"/>
      <c r="H72" s="1911"/>
      <c r="M72" s="1349"/>
    </row>
    <row r="73" spans="2:13" ht="31.5" customHeight="1">
      <c r="B73" s="1912" t="s">
        <v>12</v>
      </c>
      <c r="C73" s="2106" t="s">
        <v>1231</v>
      </c>
      <c r="D73" s="2106"/>
      <c r="E73" s="2106"/>
      <c r="F73" s="2106"/>
      <c r="G73" s="2106" t="s">
        <v>1232</v>
      </c>
      <c r="H73" s="2106"/>
      <c r="I73" s="2106"/>
      <c r="J73" s="2106"/>
      <c r="K73" s="2106"/>
      <c r="M73" s="1349"/>
    </row>
    <row r="74" spans="2:13">
      <c r="B74" s="1354">
        <v>1</v>
      </c>
      <c r="C74" s="1914"/>
      <c r="D74" s="1915"/>
      <c r="E74" s="1915"/>
      <c r="F74" s="1916"/>
      <c r="G74" s="2119"/>
      <c r="H74" s="2119"/>
      <c r="I74" s="2119"/>
      <c r="J74" s="2119"/>
      <c r="K74" s="2119"/>
      <c r="M74" s="1349" t="s">
        <v>1893</v>
      </c>
    </row>
    <row r="75" spans="2:13">
      <c r="B75" s="1354">
        <v>2</v>
      </c>
      <c r="C75" s="1914"/>
      <c r="D75" s="1915"/>
      <c r="E75" s="1915"/>
      <c r="F75" s="1916"/>
      <c r="G75" s="2119"/>
      <c r="H75" s="2119"/>
      <c r="I75" s="2119"/>
      <c r="J75" s="2119"/>
      <c r="K75" s="2119"/>
      <c r="M75" s="1349" t="s">
        <v>1893</v>
      </c>
    </row>
    <row r="76" spans="2:13">
      <c r="B76" s="1354">
        <v>3</v>
      </c>
      <c r="C76" s="1914"/>
      <c r="D76" s="1915"/>
      <c r="E76" s="1915"/>
      <c r="F76" s="1916"/>
      <c r="G76" s="2119"/>
      <c r="H76" s="2119"/>
      <c r="I76" s="2119"/>
      <c r="J76" s="2119"/>
      <c r="K76" s="2119"/>
      <c r="M76" s="1349" t="s">
        <v>1893</v>
      </c>
    </row>
    <row r="77" spans="2:13">
      <c r="B77" s="1354">
        <v>4</v>
      </c>
      <c r="C77" s="1914"/>
      <c r="D77" s="1915"/>
      <c r="E77" s="1915"/>
      <c r="F77" s="1916"/>
      <c r="G77" s="2119"/>
      <c r="H77" s="2119"/>
      <c r="I77" s="2119"/>
      <c r="J77" s="2119"/>
      <c r="K77" s="2119"/>
      <c r="M77" s="1349" t="s">
        <v>1893</v>
      </c>
    </row>
    <row r="78" spans="2:13">
      <c r="B78" s="1354">
        <v>5</v>
      </c>
      <c r="C78" s="1914"/>
      <c r="D78" s="1915"/>
      <c r="E78" s="1915"/>
      <c r="F78" s="1916"/>
      <c r="G78" s="2119"/>
      <c r="H78" s="2119"/>
      <c r="I78" s="2119"/>
      <c r="J78" s="2119"/>
      <c r="K78" s="2119"/>
      <c r="M78" s="1349" t="s">
        <v>1893</v>
      </c>
    </row>
    <row r="79" spans="2:13">
      <c r="B79" s="1911"/>
      <c r="C79" s="1911"/>
      <c r="D79" s="1911"/>
      <c r="E79" s="1911"/>
      <c r="F79" s="1911"/>
      <c r="G79" s="1911"/>
      <c r="H79" s="1911"/>
      <c r="M79" s="1349"/>
    </row>
    <row r="80" spans="2:13" ht="85.5" customHeight="1">
      <c r="B80" s="2025" t="s">
        <v>1233</v>
      </c>
      <c r="C80" s="2025"/>
      <c r="D80" s="2025"/>
      <c r="E80" s="2025"/>
      <c r="F80" s="2025"/>
      <c r="G80" s="2025"/>
      <c r="H80" s="2025"/>
      <c r="I80" s="2025"/>
      <c r="J80" s="2025"/>
      <c r="K80" s="2025"/>
      <c r="M80" s="1349" t="s">
        <v>1234</v>
      </c>
    </row>
    <row r="81" spans="2:13">
      <c r="B81" s="2025"/>
      <c r="C81" s="2025"/>
      <c r="D81" s="2025"/>
      <c r="E81" s="2025"/>
      <c r="F81" s="2025"/>
      <c r="G81" s="2025"/>
      <c r="H81" s="2025"/>
      <c r="M81" s="1349"/>
    </row>
    <row r="82" spans="2:13" ht="18" customHeight="1">
      <c r="B82" s="2014" t="s">
        <v>1235</v>
      </c>
      <c r="C82" s="2014"/>
      <c r="D82" s="2014"/>
      <c r="E82" s="2014"/>
      <c r="F82" s="2014"/>
      <c r="G82" s="2014"/>
      <c r="H82" s="2014"/>
      <c r="I82" s="2014"/>
      <c r="J82" s="2014"/>
      <c r="K82" s="2014"/>
      <c r="M82" s="1349"/>
    </row>
    <row r="83" spans="2:13">
      <c r="B83" s="2025"/>
      <c r="C83" s="2025"/>
      <c r="D83" s="2025"/>
      <c r="E83" s="2025"/>
      <c r="F83" s="2025"/>
      <c r="G83" s="2025"/>
      <c r="H83" s="2025"/>
      <c r="M83" s="1349"/>
    </row>
    <row r="84" spans="2:13" ht="54.75" customHeight="1">
      <c r="B84" s="2025" t="str">
        <f>CONCATENATE("Анализ обоснованности прогнозируемых расходов «Организации» на услуги по передаче электрической энергии (мощности) на ",F4," год проведен с использованием форм бухгалтерской отчетности, статистической и налоговой отчетности, c приложением расчетов и обосновывающих материалов, заверенных в установленном порядке.")</f>
        <v>Анализ обоснованности прогнозируемых расходов «Организации» на услуги по передаче электрической энергии (мощности) на 2024 год проведен с использованием форм бухгалтерской отчетности, статистической и налоговой отчетности, c приложением расчетов и обосновывающих материалов, заверенных в установленном порядке.</v>
      </c>
      <c r="C84" s="2025"/>
      <c r="D84" s="2025"/>
      <c r="E84" s="2025"/>
      <c r="F84" s="2025"/>
      <c r="G84" s="2025"/>
      <c r="H84" s="2025"/>
      <c r="I84" s="2025"/>
      <c r="J84" s="2025"/>
      <c r="K84" s="2025"/>
      <c r="M84" s="1349"/>
    </row>
    <row r="85" spans="2:13" ht="15.75" customHeight="1">
      <c r="B85" s="2025" t="s">
        <v>1236</v>
      </c>
      <c r="C85" s="2025"/>
      <c r="D85" s="2025"/>
      <c r="E85" s="2025"/>
      <c r="F85" s="2025"/>
      <c r="G85" s="2025"/>
      <c r="H85" s="2025"/>
      <c r="I85" s="2025"/>
      <c r="J85" s="2025"/>
      <c r="K85" s="2025"/>
      <c r="M85" s="1349"/>
    </row>
    <row r="86" spans="2:13" ht="32.25" customHeight="1">
      <c r="B86" s="2025" t="s">
        <v>1237</v>
      </c>
      <c r="C86" s="2025"/>
      <c r="D86" s="2025"/>
      <c r="E86" s="2025"/>
      <c r="F86" s="2025"/>
      <c r="G86" s="2025"/>
      <c r="H86" s="2025"/>
      <c r="I86" s="2025"/>
      <c r="J86" s="2025"/>
      <c r="K86" s="2025"/>
      <c r="M86" s="1349"/>
    </row>
    <row r="87" spans="2:13" ht="15.75" customHeight="1">
      <c r="B87" s="2025" t="s">
        <v>1238</v>
      </c>
      <c r="C87" s="2025"/>
      <c r="D87" s="2025"/>
      <c r="E87" s="2025"/>
      <c r="F87" s="2025"/>
      <c r="G87" s="2025"/>
      <c r="H87" s="2025"/>
      <c r="I87" s="2025"/>
      <c r="J87" s="2025"/>
      <c r="K87" s="2025"/>
      <c r="M87" s="1349"/>
    </row>
    <row r="88" spans="2:13">
      <c r="B88" s="2025"/>
      <c r="C88" s="2025"/>
      <c r="D88" s="2025"/>
      <c r="E88" s="2025"/>
      <c r="F88" s="2025"/>
      <c r="G88" s="2025"/>
      <c r="H88" s="2025"/>
      <c r="M88" s="1349"/>
    </row>
    <row r="89" spans="2:13" ht="18" customHeight="1">
      <c r="B89" s="2014" t="s">
        <v>1239</v>
      </c>
      <c r="C89" s="2014"/>
      <c r="D89" s="2014"/>
      <c r="E89" s="2014"/>
      <c r="F89" s="2014"/>
      <c r="G89" s="2014"/>
      <c r="H89" s="2014"/>
      <c r="I89" s="2014"/>
      <c r="J89" s="2014"/>
      <c r="K89" s="2014"/>
      <c r="M89" s="1349"/>
    </row>
    <row r="90" spans="2:13">
      <c r="B90" s="2025"/>
      <c r="C90" s="2025"/>
      <c r="D90" s="2025"/>
      <c r="E90" s="2025"/>
      <c r="F90" s="2025"/>
      <c r="G90" s="2025"/>
      <c r="H90" s="2025"/>
      <c r="M90" s="1349"/>
    </row>
    <row r="91" spans="2:13" ht="38.25" customHeight="1">
      <c r="B91" s="2025" t="str">
        <f>CONCATENATE("Анализ финансово-хозяйственной деятельности «Организации» произведен по данным представленной бухгалтерской (финансовой) отчетности. Основные показатели организации за ",F4-3,"-",F4-2," годы представлены ниже (Таблица 1).")</f>
        <v>Анализ финансово-хозяйственной деятельности «Организации» произведен по данным представленной бухгалтерской (финансовой) отчетности. Основные показатели организации за 2021-2022 годы представлены ниже (Таблица 1).</v>
      </c>
      <c r="C91" s="2025"/>
      <c r="D91" s="2025"/>
      <c r="E91" s="2025"/>
      <c r="F91" s="2025"/>
      <c r="G91" s="2025"/>
      <c r="H91" s="2025"/>
      <c r="I91" s="2025"/>
      <c r="J91" s="2025"/>
      <c r="K91" s="2025"/>
      <c r="M91" s="1349"/>
    </row>
    <row r="92" spans="2:13">
      <c r="M92" s="1349"/>
    </row>
    <row r="93" spans="2:13" ht="15.75" customHeight="1">
      <c r="B93" s="2003" t="s">
        <v>1240</v>
      </c>
      <c r="C93" s="2003"/>
      <c r="D93" s="2003"/>
      <c r="E93" s="2003"/>
      <c r="F93" s="1355"/>
      <c r="G93" s="1355"/>
      <c r="H93" s="1355"/>
      <c r="M93" s="1349"/>
    </row>
    <row r="94" spans="2:13">
      <c r="E94" s="1350" t="s">
        <v>1241</v>
      </c>
      <c r="M94" s="1349"/>
    </row>
    <row r="95" spans="2:13">
      <c r="B95" s="1930" t="s">
        <v>12</v>
      </c>
      <c r="C95" s="1926" t="s">
        <v>1242</v>
      </c>
      <c r="D95" s="1933" t="str">
        <f>CONCATENATE(F4-3," год")</f>
        <v>2021 год</v>
      </c>
      <c r="E95" s="1933" t="str">
        <f>CONCATENATE(F4-2," год")</f>
        <v>2022 год</v>
      </c>
      <c r="M95" s="1349"/>
    </row>
    <row r="96" spans="2:13">
      <c r="B96" s="1357">
        <v>1</v>
      </c>
      <c r="C96" s="1358">
        <v>2</v>
      </c>
      <c r="D96" s="1358">
        <v>3</v>
      </c>
      <c r="E96" s="1358">
        <v>4</v>
      </c>
      <c r="M96" s="1349"/>
    </row>
    <row r="97" spans="2:13" ht="45">
      <c r="B97" s="1930" t="s">
        <v>234</v>
      </c>
      <c r="C97" s="1359" t="s">
        <v>1243</v>
      </c>
      <c r="D97" s="1965">
        <f>'37 ФХД'!E7</f>
        <v>0</v>
      </c>
      <c r="E97" s="1965">
        <f>'37 ФХД'!H7</f>
        <v>0</v>
      </c>
      <c r="M97" s="1349"/>
    </row>
    <row r="98" spans="2:13" ht="33.75">
      <c r="B98" s="1930" t="s">
        <v>237</v>
      </c>
      <c r="C98" s="1359" t="s">
        <v>1244</v>
      </c>
      <c r="D98" s="1965">
        <f>'37 ФХД'!E8</f>
        <v>0</v>
      </c>
      <c r="E98" s="1965">
        <f>'37 ФХД'!H8</f>
        <v>0</v>
      </c>
      <c r="M98" s="1349"/>
    </row>
    <row r="99" spans="2:13" ht="22.5">
      <c r="B99" s="1930" t="s">
        <v>239</v>
      </c>
      <c r="C99" s="1359" t="s">
        <v>1245</v>
      </c>
      <c r="D99" s="1965">
        <f>D97-D98</f>
        <v>0</v>
      </c>
      <c r="E99" s="1965">
        <f>E97-E98</f>
        <v>0</v>
      </c>
      <c r="M99" s="1349"/>
    </row>
    <row r="100" spans="2:13">
      <c r="B100" s="1930" t="s">
        <v>242</v>
      </c>
      <c r="C100" s="1359" t="s">
        <v>1246</v>
      </c>
      <c r="D100" s="1965">
        <f>SUM(D101:D103)</f>
        <v>0</v>
      </c>
      <c r="E100" s="1965">
        <f>SUM(E101:E103)</f>
        <v>0</v>
      </c>
      <c r="M100" s="1349"/>
    </row>
    <row r="101" spans="2:13">
      <c r="B101" s="1362" t="s">
        <v>473</v>
      </c>
      <c r="C101" s="1363" t="s">
        <v>1247</v>
      </c>
      <c r="D101" s="1951">
        <f>'37 ФХД'!E11</f>
        <v>0</v>
      </c>
      <c r="E101" s="1951">
        <f>'37 ФХД'!H11</f>
        <v>0</v>
      </c>
      <c r="M101" s="1349"/>
    </row>
    <row r="102" spans="2:13">
      <c r="B102" s="1362" t="s">
        <v>481</v>
      </c>
      <c r="C102" s="1363" t="s">
        <v>1248</v>
      </c>
      <c r="D102" s="1951">
        <f>'37 ФХД'!E12</f>
        <v>0</v>
      </c>
      <c r="E102" s="1951">
        <f>'37 ФХД'!H12</f>
        <v>0</v>
      </c>
      <c r="M102" s="1349"/>
    </row>
    <row r="103" spans="2:13">
      <c r="B103" s="1362" t="s">
        <v>489</v>
      </c>
      <c r="C103" s="1363" t="s">
        <v>1249</v>
      </c>
      <c r="D103" s="1951">
        <f>'37 ФХД'!E13</f>
        <v>0</v>
      </c>
      <c r="E103" s="1951">
        <f>'37 ФХД'!H13</f>
        <v>0</v>
      </c>
      <c r="M103" s="1349"/>
    </row>
    <row r="104" spans="2:13">
      <c r="B104" s="1930" t="s">
        <v>899</v>
      </c>
      <c r="C104" s="1359" t="s">
        <v>1250</v>
      </c>
      <c r="D104" s="1965">
        <f>SUM(D105:D107)</f>
        <v>0</v>
      </c>
      <c r="E104" s="1965">
        <f>SUM(E105:E107)</f>
        <v>0</v>
      </c>
      <c r="M104" s="1349"/>
    </row>
    <row r="105" spans="2:13">
      <c r="B105" s="1362" t="s">
        <v>1251</v>
      </c>
      <c r="C105" s="1363" t="s">
        <v>1252</v>
      </c>
      <c r="D105" s="1951">
        <f>'37 ФХД'!E15</f>
        <v>0</v>
      </c>
      <c r="E105" s="1951">
        <f>'37 ФХД'!H15</f>
        <v>0</v>
      </c>
      <c r="M105" s="1349"/>
    </row>
    <row r="106" spans="2:13">
      <c r="B106" s="1362" t="s">
        <v>1253</v>
      </c>
      <c r="C106" s="1363" t="s">
        <v>1254</v>
      </c>
      <c r="D106" s="1951">
        <f>'37 ФХД'!E16</f>
        <v>0</v>
      </c>
      <c r="E106" s="1951">
        <f>'37 ФХД'!H16</f>
        <v>0</v>
      </c>
      <c r="M106" s="1349"/>
    </row>
    <row r="107" spans="2:13">
      <c r="B107" s="1362" t="s">
        <v>1255</v>
      </c>
      <c r="C107" s="1363" t="s">
        <v>1256</v>
      </c>
      <c r="D107" s="1951">
        <f>'37 ФХД'!E17</f>
        <v>0</v>
      </c>
      <c r="E107" s="1951">
        <f>'37 ФХД'!H17</f>
        <v>0</v>
      </c>
      <c r="M107" s="1349"/>
    </row>
    <row r="108" spans="2:13" ht="22.5">
      <c r="B108" s="1930" t="s">
        <v>860</v>
      </c>
      <c r="C108" s="1359" t="s">
        <v>1257</v>
      </c>
      <c r="D108" s="1965">
        <f>D99+D100-D104</f>
        <v>0</v>
      </c>
      <c r="E108" s="1965">
        <f>E99+E100-E104</f>
        <v>0</v>
      </c>
      <c r="M108" s="1349"/>
    </row>
    <row r="109" spans="2:13" ht="22.5">
      <c r="B109" s="1930" t="s">
        <v>862</v>
      </c>
      <c r="C109" s="1359" t="s">
        <v>1258</v>
      </c>
      <c r="D109" s="1971">
        <f ca="1">SUM(D110:D112)</f>
        <v>0</v>
      </c>
      <c r="E109" s="1971">
        <f ca="1">SUM(E110:E112)</f>
        <v>0</v>
      </c>
      <c r="M109" s="1349"/>
    </row>
    <row r="110" spans="2:13" ht="22.5">
      <c r="B110" s="1362" t="s">
        <v>872</v>
      </c>
      <c r="C110" s="1365" t="s">
        <v>1259</v>
      </c>
      <c r="D110" s="1971">
        <f ca="1">SUM(D111:D113)</f>
        <v>0</v>
      </c>
      <c r="E110" s="1971">
        <f ca="1">SUM(E111:E113)</f>
        <v>0</v>
      </c>
      <c r="M110" s="1349"/>
    </row>
    <row r="111" spans="2:13">
      <c r="B111" s="1930" t="s">
        <v>904</v>
      </c>
      <c r="C111" s="1359" t="s">
        <v>1260</v>
      </c>
      <c r="D111" s="1971">
        <f ca="1">D108-D109</f>
        <v>0</v>
      </c>
      <c r="E111" s="1971">
        <f ca="1">E108-E109</f>
        <v>0</v>
      </c>
      <c r="M111" s="1349"/>
    </row>
    <row r="112" spans="2:13">
      <c r="M112" s="1349"/>
    </row>
    <row r="113" spans="2:13" ht="38.25" customHeight="1">
      <c r="B113" s="2025" t="str">
        <f ca="1">CONCATENATE("По итогам ",E95," года чистая прибыль от услуг по передаче электроэнергии «Организации» составила ",E111," тыс. руб.")</f>
        <v>По итогам 2021 год года чистая прибыль от услуг по передаче электроэнергии «Организации» составила 0 тыс. руб.</v>
      </c>
      <c r="C113" s="2025"/>
      <c r="D113" s="2025"/>
      <c r="E113" s="2025"/>
      <c r="F113" s="2025"/>
      <c r="G113" s="2025"/>
      <c r="H113" s="2025"/>
      <c r="I113" s="2025"/>
      <c r="J113" s="2025"/>
      <c r="K113" s="2025"/>
      <c r="M113" s="1349"/>
    </row>
    <row r="114" spans="2:13" ht="38.25" customHeight="1">
      <c r="B114" s="2026"/>
      <c r="C114" s="2026"/>
      <c r="D114" s="2026"/>
      <c r="E114" s="2026"/>
      <c r="F114" s="2026"/>
      <c r="G114" s="2026"/>
      <c r="H114" s="2026"/>
      <c r="I114" s="2026"/>
      <c r="J114" s="2026"/>
      <c r="K114" s="2026"/>
      <c r="M114" s="1349" t="s">
        <v>1261</v>
      </c>
    </row>
    <row r="115" spans="2:13">
      <c r="M115" s="1349"/>
    </row>
    <row r="116" spans="2:13">
      <c r="B116" s="2025" t="s">
        <v>1262</v>
      </c>
      <c r="C116" s="2025"/>
      <c r="D116" s="2025"/>
      <c r="E116" s="2025"/>
      <c r="F116" s="2025"/>
      <c r="G116" s="2025"/>
      <c r="H116" s="2025"/>
      <c r="I116" s="2025"/>
      <c r="J116" s="2025"/>
      <c r="K116" s="2025"/>
      <c r="M116" s="1349"/>
    </row>
    <row r="117" spans="2:13">
      <c r="M117" s="1349"/>
    </row>
    <row r="118" spans="2:13" ht="15.75" customHeight="1">
      <c r="B118" s="2003" t="s">
        <v>1263</v>
      </c>
      <c r="C118" s="2003"/>
      <c r="D118" s="2003"/>
      <c r="E118" s="2003"/>
      <c r="F118" s="2003"/>
      <c r="G118" s="2003"/>
      <c r="H118" s="2003"/>
      <c r="M118" s="1349"/>
    </row>
    <row r="119" spans="2:13">
      <c r="H119" s="1909" t="s">
        <v>1264</v>
      </c>
      <c r="M119" s="1349"/>
    </row>
    <row r="120" spans="2:13" ht="22.5">
      <c r="B120" s="1924" t="s">
        <v>12</v>
      </c>
      <c r="C120" s="1924" t="s">
        <v>954</v>
      </c>
      <c r="D120" s="1924" t="s">
        <v>262</v>
      </c>
      <c r="E120" s="1366" t="str">
        <f>CONCATENATE("31.12.20",RIGHT(F4-3,2))</f>
        <v>31.12.2021</v>
      </c>
      <c r="F120" s="1366" t="str">
        <f>CONCATENATE("31.12.20",RIGHT(F4-2,2))</f>
        <v>31.12.2022</v>
      </c>
      <c r="G120" s="1924" t="s">
        <v>1265</v>
      </c>
      <c r="H120" s="1924" t="s">
        <v>1266</v>
      </c>
      <c r="M120" s="1349"/>
    </row>
    <row r="121" spans="2:13">
      <c r="B121" s="1367">
        <v>1</v>
      </c>
      <c r="C121" s="1367">
        <v>2</v>
      </c>
      <c r="D121" s="1367">
        <v>3</v>
      </c>
      <c r="E121" s="1367">
        <v>4</v>
      </c>
      <c r="F121" s="1367">
        <v>5</v>
      </c>
      <c r="G121" s="1367">
        <v>6</v>
      </c>
      <c r="H121" s="1367">
        <v>7</v>
      </c>
      <c r="M121" s="1349"/>
    </row>
    <row r="122" spans="2:13" ht="45">
      <c r="B122" s="1368" t="s">
        <v>234</v>
      </c>
      <c r="C122" s="1932" t="s">
        <v>1267</v>
      </c>
      <c r="D122" s="1368" t="s">
        <v>226</v>
      </c>
      <c r="E122" s="1969">
        <f>'37 ФХД'!F28</f>
        <v>0</v>
      </c>
      <c r="F122" s="1969">
        <f>'37 ФХД'!I28</f>
        <v>0</v>
      </c>
      <c r="G122" s="1371"/>
      <c r="H122" s="1919" t="s">
        <v>1268</v>
      </c>
      <c r="M122" s="1349"/>
    </row>
    <row r="123" spans="2:13" ht="45">
      <c r="B123" s="1368" t="s">
        <v>237</v>
      </c>
      <c r="C123" s="1932" t="s">
        <v>1269</v>
      </c>
      <c r="D123" s="1368" t="s">
        <v>226</v>
      </c>
      <c r="E123" s="1969">
        <f>'37 ФХД'!F29</f>
        <v>0</v>
      </c>
      <c r="F123" s="1969">
        <f>'37 ФХД'!I29</f>
        <v>0</v>
      </c>
      <c r="G123" s="1371"/>
      <c r="H123" s="1919" t="s">
        <v>1270</v>
      </c>
      <c r="M123" s="1349"/>
    </row>
    <row r="124" spans="2:13" ht="90">
      <c r="B124" s="1368" t="s">
        <v>239</v>
      </c>
      <c r="C124" s="1932" t="s">
        <v>1271</v>
      </c>
      <c r="D124" s="1932"/>
      <c r="E124" s="1969">
        <f>'37 ФХД'!F30</f>
        <v>0</v>
      </c>
      <c r="F124" s="1969">
        <f>'37 ФХД'!I30</f>
        <v>0</v>
      </c>
      <c r="G124" s="1371"/>
      <c r="H124" s="1919" t="s">
        <v>1272</v>
      </c>
      <c r="M124" s="1349"/>
    </row>
    <row r="125" spans="2:13" ht="101.25">
      <c r="B125" s="1368" t="s">
        <v>242</v>
      </c>
      <c r="C125" s="1932" t="s">
        <v>1273</v>
      </c>
      <c r="D125" s="1932"/>
      <c r="E125" s="1969">
        <f>'37 ФХД'!F31</f>
        <v>0</v>
      </c>
      <c r="F125" s="1969">
        <f>'37 ФХД'!I31</f>
        <v>0</v>
      </c>
      <c r="G125" s="1371"/>
      <c r="H125" s="1919" t="s">
        <v>1274</v>
      </c>
      <c r="M125" s="1349"/>
    </row>
    <row r="126" spans="2:13" ht="33.75">
      <c r="B126" s="1368" t="s">
        <v>899</v>
      </c>
      <c r="C126" s="1932" t="s">
        <v>1275</v>
      </c>
      <c r="D126" s="1932"/>
      <c r="E126" s="1969">
        <f>'37 ФХД'!F32</f>
        <v>0</v>
      </c>
      <c r="F126" s="1969">
        <f>'37 ФХД'!I32</f>
        <v>0</v>
      </c>
      <c r="G126" s="1371"/>
      <c r="H126" s="1368" t="s">
        <v>1276</v>
      </c>
      <c r="M126" s="1349"/>
    </row>
    <row r="127" spans="2:13" ht="45">
      <c r="B127" s="1368" t="s">
        <v>860</v>
      </c>
      <c r="C127" s="1932" t="s">
        <v>1277</v>
      </c>
      <c r="D127" s="1368" t="s">
        <v>268</v>
      </c>
      <c r="E127" s="1970">
        <f>'37 ФХД'!F33</f>
        <v>0</v>
      </c>
      <c r="F127" s="1970">
        <f>'37 ФХД'!I33</f>
        <v>0</v>
      </c>
      <c r="G127" s="1371"/>
      <c r="H127" s="1919" t="s">
        <v>1278</v>
      </c>
      <c r="M127" s="1349"/>
    </row>
    <row r="128" spans="2:13" ht="56.25">
      <c r="B128" s="1368" t="s">
        <v>862</v>
      </c>
      <c r="C128" s="1932" t="s">
        <v>1279</v>
      </c>
      <c r="D128" s="1932"/>
      <c r="E128" s="1969">
        <f>'37 ФХД'!F34</f>
        <v>0</v>
      </c>
      <c r="F128" s="1969">
        <f>'37 ФХД'!I34</f>
        <v>0</v>
      </c>
      <c r="G128" s="1371"/>
      <c r="H128" s="1368" t="s">
        <v>1280</v>
      </c>
      <c r="M128" s="1349"/>
    </row>
    <row r="129" spans="2:13" ht="56.25">
      <c r="B129" s="1368" t="s">
        <v>872</v>
      </c>
      <c r="C129" s="1932" t="s">
        <v>1281</v>
      </c>
      <c r="D129" s="1932"/>
      <c r="E129" s="1969">
        <f>'37 ФХД'!F35</f>
        <v>0</v>
      </c>
      <c r="F129" s="1969">
        <f>'37 ФХД'!I35</f>
        <v>0</v>
      </c>
      <c r="G129" s="1371"/>
      <c r="H129" s="1368" t="s">
        <v>1282</v>
      </c>
      <c r="M129" s="1349"/>
    </row>
    <row r="130" spans="2:13">
      <c r="M130" s="1349"/>
    </row>
    <row r="131" spans="2:13">
      <c r="B131" s="2025" t="s">
        <v>1283</v>
      </c>
      <c r="C131" s="2025"/>
      <c r="D131" s="2025"/>
      <c r="E131" s="2025"/>
      <c r="F131" s="2025"/>
      <c r="G131" s="2025"/>
      <c r="H131" s="2025"/>
      <c r="I131" s="2025"/>
      <c r="J131" s="2025"/>
      <c r="K131" s="2025"/>
      <c r="M131" s="1349"/>
    </row>
    <row r="132" spans="2:13" ht="38.25" customHeight="1">
      <c r="B132" s="2026"/>
      <c r="C132" s="2026"/>
      <c r="D132" s="2026"/>
      <c r="E132" s="2026"/>
      <c r="F132" s="2026"/>
      <c r="G132" s="2026"/>
      <c r="H132" s="2026"/>
      <c r="I132" s="2026"/>
      <c r="J132" s="2026"/>
      <c r="K132" s="2026"/>
      <c r="M132" s="1349" t="s">
        <v>1261</v>
      </c>
    </row>
    <row r="133" spans="2:13">
      <c r="M133" s="1349"/>
    </row>
    <row r="134" spans="2:13" ht="18" customHeight="1">
      <c r="B134" s="2014" t="s">
        <v>1284</v>
      </c>
      <c r="C134" s="2014"/>
      <c r="D134" s="2014"/>
      <c r="E134" s="2014"/>
      <c r="F134" s="2014"/>
      <c r="G134" s="2014"/>
      <c r="H134" s="2014"/>
      <c r="I134" s="2014"/>
      <c r="J134" s="2014"/>
      <c r="K134" s="2014"/>
      <c r="M134" s="1349"/>
    </row>
    <row r="135" spans="2:13">
      <c r="M135" s="1349"/>
    </row>
    <row r="136" spans="2:13" ht="15.75" customHeight="1">
      <c r="B136" s="2003" t="s">
        <v>1285</v>
      </c>
      <c r="C136" s="2003"/>
      <c r="D136" s="2003"/>
      <c r="E136" s="2003"/>
      <c r="F136" s="2003"/>
      <c r="G136" s="2003"/>
      <c r="H136" s="2003"/>
      <c r="I136" s="2003"/>
      <c r="J136" s="2003"/>
      <c r="K136" s="1886"/>
      <c r="M136" s="1349"/>
    </row>
    <row r="137" spans="2:13">
      <c r="J137" s="1909" t="s">
        <v>1286</v>
      </c>
      <c r="M137" s="1349"/>
    </row>
    <row r="138" spans="2:13" ht="15.75">
      <c r="B138" s="2121" t="s">
        <v>12</v>
      </c>
      <c r="C138" s="2122" t="s">
        <v>954</v>
      </c>
      <c r="D138" s="2123" t="s">
        <v>262</v>
      </c>
      <c r="E138" s="1900" t="str">
        <f>CONCATENATE(F4-3," год")</f>
        <v>2021 год</v>
      </c>
      <c r="F138" s="1900" t="str">
        <f>CONCATENATE(F4-2," год")</f>
        <v>2022 год</v>
      </c>
      <c r="G138" s="1900" t="str">
        <f>CONCATENATE(F4-1," год")</f>
        <v>2023 год</v>
      </c>
      <c r="H138" s="2124" t="str">
        <f>CONCATENATE(F4," год")</f>
        <v>2024 год</v>
      </c>
      <c r="I138" s="2124"/>
      <c r="J138" s="2124"/>
      <c r="K138" s="1886"/>
      <c r="M138" s="1349"/>
    </row>
    <row r="139" spans="2:13" ht="22.5">
      <c r="B139" s="2121"/>
      <c r="C139" s="2122"/>
      <c r="D139" s="2123"/>
      <c r="E139" s="1918" t="s">
        <v>1287</v>
      </c>
      <c r="F139" s="1918" t="s">
        <v>1287</v>
      </c>
      <c r="G139" s="1918" t="s">
        <v>1288</v>
      </c>
      <c r="H139" s="1918" t="s">
        <v>1289</v>
      </c>
      <c r="I139" s="1918" t="s">
        <v>1290</v>
      </c>
      <c r="J139" s="1918" t="s">
        <v>263</v>
      </c>
      <c r="K139" s="1886"/>
      <c r="M139" s="1349"/>
    </row>
    <row r="140" spans="2:13" ht="15.75">
      <c r="B140" s="1587">
        <v>1</v>
      </c>
      <c r="C140" s="1587">
        <v>2</v>
      </c>
      <c r="D140" s="1929">
        <v>3</v>
      </c>
      <c r="E140" s="1929">
        <v>4</v>
      </c>
      <c r="F140" s="1929">
        <v>5</v>
      </c>
      <c r="G140" s="1929">
        <v>6</v>
      </c>
      <c r="H140" s="1929">
        <v>7</v>
      </c>
      <c r="I140" s="1929">
        <v>8</v>
      </c>
      <c r="J140" s="1929" t="s">
        <v>1291</v>
      </c>
      <c r="K140" s="1886"/>
      <c r="M140" s="1349"/>
    </row>
    <row r="141" spans="2:13" ht="15.75">
      <c r="B141" s="1917" t="s">
        <v>234</v>
      </c>
      <c r="C141" s="1588" t="s">
        <v>1292</v>
      </c>
      <c r="D141" s="1919" t="s">
        <v>1293</v>
      </c>
      <c r="E141" s="1378"/>
      <c r="F141" s="1378"/>
      <c r="G141" s="1378"/>
      <c r="H141" s="1378"/>
      <c r="I141" s="1377"/>
      <c r="J141" s="1948">
        <f t="shared" ref="J141:J148" si="0">IFERROR(I141-H141,"-")</f>
        <v>0</v>
      </c>
      <c r="K141" s="1886"/>
      <c r="M141" s="1349"/>
    </row>
    <row r="142" spans="2:13" ht="15.75">
      <c r="B142" s="1917" t="s">
        <v>237</v>
      </c>
      <c r="C142" s="1588" t="s">
        <v>235</v>
      </c>
      <c r="D142" s="1919" t="s">
        <v>249</v>
      </c>
      <c r="E142" s="1953">
        <f>E276-E277</f>
        <v>0</v>
      </c>
      <c r="F142" s="1953">
        <f>G276-G277</f>
        <v>0</v>
      </c>
      <c r="G142" s="1953">
        <f>H276-H277</f>
        <v>0</v>
      </c>
      <c r="H142" s="1953">
        <f>I276-I277</f>
        <v>0</v>
      </c>
      <c r="I142" s="1948">
        <f>J276-J277</f>
        <v>0</v>
      </c>
      <c r="J142" s="1948">
        <f t="shared" si="0"/>
        <v>0</v>
      </c>
      <c r="K142" s="1886"/>
      <c r="M142" s="1349"/>
    </row>
    <row r="143" spans="2:13" ht="15.75">
      <c r="B143" s="1917" t="s">
        <v>239</v>
      </c>
      <c r="C143" s="1588" t="s">
        <v>1294</v>
      </c>
      <c r="D143" s="1919" t="s">
        <v>268</v>
      </c>
      <c r="E143" s="1961" t="str">
        <f>E278</f>
        <v>х</v>
      </c>
      <c r="F143" s="1961" t="str">
        <f t="shared" ref="F143:I144" si="1">G278</f>
        <v>х</v>
      </c>
      <c r="G143" s="1961" t="str">
        <f t="shared" si="1"/>
        <v>х</v>
      </c>
      <c r="H143" s="1961" t="str">
        <f t="shared" si="1"/>
        <v>х</v>
      </c>
      <c r="I143" s="1961" t="str">
        <f t="shared" si="1"/>
        <v>х</v>
      </c>
      <c r="J143" s="1968" t="str">
        <f t="shared" si="0"/>
        <v>-</v>
      </c>
      <c r="K143" s="1886"/>
      <c r="M143" s="1349"/>
    </row>
    <row r="144" spans="2:13" ht="15.75">
      <c r="B144" s="1917" t="s">
        <v>242</v>
      </c>
      <c r="C144" s="1588" t="s">
        <v>1295</v>
      </c>
      <c r="D144" s="1919" t="s">
        <v>285</v>
      </c>
      <c r="E144" s="1953">
        <f>E279</f>
        <v>0</v>
      </c>
      <c r="F144" s="1953">
        <f t="shared" si="1"/>
        <v>0</v>
      </c>
      <c r="G144" s="1953">
        <f t="shared" si="1"/>
        <v>0</v>
      </c>
      <c r="H144" s="1953">
        <f t="shared" si="1"/>
        <v>0</v>
      </c>
      <c r="I144" s="1948">
        <f t="shared" si="1"/>
        <v>0</v>
      </c>
      <c r="J144" s="1948">
        <f t="shared" si="0"/>
        <v>0</v>
      </c>
      <c r="K144" s="1886"/>
      <c r="M144" s="1349"/>
    </row>
    <row r="145" spans="2:13" ht="15.75">
      <c r="B145" s="1917" t="s">
        <v>899</v>
      </c>
      <c r="C145" s="1588" t="s">
        <v>1296</v>
      </c>
      <c r="D145" s="1919" t="s">
        <v>249</v>
      </c>
      <c r="E145" s="1953">
        <f>E277</f>
        <v>0</v>
      </c>
      <c r="F145" s="1953">
        <f>G277</f>
        <v>0</v>
      </c>
      <c r="G145" s="1953">
        <f>H277</f>
        <v>0</v>
      </c>
      <c r="H145" s="1953">
        <f>I277</f>
        <v>0</v>
      </c>
      <c r="I145" s="1953">
        <f>J277</f>
        <v>0</v>
      </c>
      <c r="J145" s="1948">
        <f t="shared" si="0"/>
        <v>0</v>
      </c>
      <c r="K145" s="1886"/>
      <c r="M145" s="1349"/>
    </row>
    <row r="146" spans="2:13" ht="22.5">
      <c r="B146" s="1917" t="s">
        <v>860</v>
      </c>
      <c r="C146" s="1588" t="s">
        <v>1297</v>
      </c>
      <c r="D146" s="1919" t="s">
        <v>1293</v>
      </c>
      <c r="E146" s="1953">
        <f>IFERROR(E145*E144/1000,"-")</f>
        <v>0</v>
      </c>
      <c r="F146" s="1953">
        <f>IFERROR(F145*F144/1000,"-")</f>
        <v>0</v>
      </c>
      <c r="G146" s="1953">
        <f>IFERROR(G145*G144/1000,"-")</f>
        <v>0</v>
      </c>
      <c r="H146" s="1953">
        <f>IFERROR(H145*H144/1000,"-")</f>
        <v>0</v>
      </c>
      <c r="I146" s="1948">
        <f>IFERROR(I145*I144/1000,"-")</f>
        <v>0</v>
      </c>
      <c r="J146" s="1948">
        <f t="shared" si="0"/>
        <v>0</v>
      </c>
      <c r="K146" s="1886"/>
      <c r="M146" s="1349"/>
    </row>
    <row r="147" spans="2:13" ht="15.75">
      <c r="B147" s="1917" t="s">
        <v>862</v>
      </c>
      <c r="C147" s="1588" t="s">
        <v>1171</v>
      </c>
      <c r="D147" s="1919" t="s">
        <v>276</v>
      </c>
      <c r="E147" s="1953">
        <f>E335</f>
        <v>0</v>
      </c>
      <c r="F147" s="1953">
        <f>F335</f>
        <v>0</v>
      </c>
      <c r="G147" s="1953">
        <f>G328</f>
        <v>0</v>
      </c>
      <c r="H147" s="1953">
        <f>H310</f>
        <v>0</v>
      </c>
      <c r="I147" s="1948">
        <f>H328</f>
        <v>0</v>
      </c>
      <c r="J147" s="1948">
        <f t="shared" si="0"/>
        <v>0</v>
      </c>
      <c r="K147" s="1886"/>
      <c r="M147" s="1349"/>
    </row>
    <row r="148" spans="2:13" ht="22.5">
      <c r="B148" s="1917" t="s">
        <v>872</v>
      </c>
      <c r="C148" s="1588" t="s">
        <v>1298</v>
      </c>
      <c r="D148" s="1919" t="s">
        <v>892</v>
      </c>
      <c r="E148" s="1953" t="str">
        <f>IFERROR(E141/E142,"-")</f>
        <v>-</v>
      </c>
      <c r="F148" s="1953" t="str">
        <f>IFERROR(F141/F142,"-")</f>
        <v>-</v>
      </c>
      <c r="G148" s="1953" t="str">
        <f>IFERROR(G141/G142,"-")</f>
        <v>-</v>
      </c>
      <c r="H148" s="1953" t="str">
        <f>IFERROR(H141/H142,"-")</f>
        <v>-</v>
      </c>
      <c r="I148" s="1948" t="str">
        <f>IFERROR(I141/I142,"-")</f>
        <v>-</v>
      </c>
      <c r="J148" s="1948" t="str">
        <f t="shared" si="0"/>
        <v>-</v>
      </c>
      <c r="K148" s="1379"/>
      <c r="M148" s="1349"/>
    </row>
    <row r="149" spans="2:13" ht="28.5" customHeight="1">
      <c r="B149" s="1352">
        <v>3</v>
      </c>
      <c r="C149" s="2110" t="s">
        <v>1299</v>
      </c>
      <c r="D149" s="2110"/>
      <c r="E149" s="2110"/>
      <c r="F149" s="2110"/>
      <c r="G149" s="2110"/>
      <c r="H149" s="2110"/>
      <c r="I149" s="2110"/>
      <c r="J149" s="2110"/>
      <c r="K149" s="2104"/>
      <c r="M149" s="1349"/>
    </row>
    <row r="150" spans="2:13">
      <c r="M150" s="1349"/>
    </row>
    <row r="151" spans="2:13" ht="15.75" customHeight="1">
      <c r="B151" s="2025" t="s">
        <v>1300</v>
      </c>
      <c r="C151" s="2025"/>
      <c r="D151" s="2025"/>
      <c r="E151" s="2025"/>
      <c r="F151" s="2025"/>
      <c r="G151" s="2025"/>
      <c r="H151" s="2025"/>
      <c r="I151" s="2025"/>
      <c r="J151" s="2025"/>
      <c r="K151" s="2025"/>
      <c r="M151" s="1349"/>
    </row>
    <row r="152" spans="2:13">
      <c r="B152" s="2026"/>
      <c r="C152" s="2026"/>
      <c r="D152" s="2026"/>
      <c r="E152" s="2026"/>
      <c r="F152" s="2026"/>
      <c r="G152" s="2026"/>
      <c r="H152" s="2026"/>
      <c r="I152" s="2026"/>
      <c r="J152" s="2026"/>
      <c r="K152" s="2026"/>
      <c r="M152" s="2044" t="s">
        <v>1301</v>
      </c>
    </row>
    <row r="153" spans="2:13">
      <c r="B153" s="2026"/>
      <c r="C153" s="2026"/>
      <c r="D153" s="2026"/>
      <c r="E153" s="2026"/>
      <c r="F153" s="2026"/>
      <c r="G153" s="2026"/>
      <c r="H153" s="2026"/>
      <c r="I153" s="2026"/>
      <c r="J153" s="2026"/>
      <c r="K153" s="2026"/>
      <c r="M153" s="2045"/>
    </row>
    <row r="154" spans="2:13">
      <c r="B154" s="2026"/>
      <c r="C154" s="2026"/>
      <c r="D154" s="2026"/>
      <c r="E154" s="2026"/>
      <c r="F154" s="2026"/>
      <c r="G154" s="2026"/>
      <c r="H154" s="2026"/>
      <c r="I154" s="2026"/>
      <c r="J154" s="2026"/>
      <c r="K154" s="2026"/>
      <c r="M154" s="2046"/>
    </row>
    <row r="155" spans="2:13">
      <c r="M155" s="1349"/>
    </row>
    <row r="156" spans="2:13" ht="18" customHeight="1">
      <c r="B156" s="2014" t="s">
        <v>1302</v>
      </c>
      <c r="C156" s="2014"/>
      <c r="D156" s="2014"/>
      <c r="E156" s="2014"/>
      <c r="F156" s="2014"/>
      <c r="G156" s="2014"/>
      <c r="H156" s="2014"/>
      <c r="I156" s="2014"/>
      <c r="J156" s="2014"/>
      <c r="K156" s="2014"/>
      <c r="M156" s="1349"/>
    </row>
    <row r="157" spans="2:13">
      <c r="M157" s="1349"/>
    </row>
    <row r="158" spans="2:13" ht="111.75" customHeight="1">
      <c r="B158" s="2025" t="s">
        <v>1303</v>
      </c>
      <c r="C158" s="2025"/>
      <c r="D158" s="2025"/>
      <c r="E158" s="2025"/>
      <c r="F158" s="2025"/>
      <c r="G158" s="2025"/>
      <c r="H158" s="2025"/>
      <c r="I158" s="2025"/>
      <c r="J158" s="2025"/>
      <c r="K158" s="2025"/>
      <c r="M158" s="1349"/>
    </row>
    <row r="159" spans="2:13" ht="39.75" customHeight="1">
      <c r="B159" s="2025" t="s">
        <v>1304</v>
      </c>
      <c r="C159" s="2025"/>
      <c r="D159" s="2025"/>
      <c r="E159" s="2025"/>
      <c r="F159" s="2025"/>
      <c r="G159" s="2025"/>
      <c r="H159" s="2025"/>
      <c r="I159" s="2025"/>
      <c r="J159" s="2025"/>
      <c r="K159" s="2025"/>
      <c r="M159" s="1349"/>
    </row>
    <row r="160" spans="2:13">
      <c r="M160" s="1349"/>
    </row>
    <row r="161" spans="2:13" ht="15.75" hidden="1" outlineLevel="1">
      <c r="B161" s="2003" t="s">
        <v>1305</v>
      </c>
      <c r="C161" s="2003"/>
      <c r="D161" s="2003"/>
      <c r="E161" s="2003"/>
      <c r="F161" s="2003"/>
      <c r="G161" s="2003"/>
      <c r="H161" s="2003"/>
      <c r="I161" s="2003"/>
      <c r="M161" s="1349"/>
    </row>
    <row r="162" spans="2:13" ht="18" hidden="1" outlineLevel="1">
      <c r="B162" s="1485" t="s">
        <v>1895</v>
      </c>
      <c r="I162" s="1909" t="s">
        <v>1306</v>
      </c>
      <c r="M162" s="1349"/>
    </row>
    <row r="163" spans="2:13" hidden="1" outlineLevel="1">
      <c r="B163" s="1918" t="s">
        <v>12</v>
      </c>
      <c r="C163" s="1918" t="s">
        <v>954</v>
      </c>
      <c r="D163" s="1918" t="s">
        <v>262</v>
      </c>
      <c r="E163" s="1380" t="str">
        <f>CONCATENATE('0. Анкета'!C13," год")</f>
        <v>2019 год</v>
      </c>
      <c r="F163" s="1380" t="str">
        <f>CONCATENATE('0. Анкета'!C13+1," год")</f>
        <v>2020 год</v>
      </c>
      <c r="G163" s="1380" t="str">
        <f>CONCATENATE('0. Анкета'!C13+2," год")</f>
        <v>2021 год</v>
      </c>
      <c r="H163" s="1380" t="str">
        <f>CONCATENATE('0. Анкета'!C13+3," год")</f>
        <v>2022 год</v>
      </c>
      <c r="I163" s="1380" t="str">
        <f>CONCATENATE('0. Анкета'!C13+4," год")</f>
        <v>2023 год</v>
      </c>
      <c r="M163" s="1349"/>
    </row>
    <row r="164" spans="2:13" hidden="1" outlineLevel="1">
      <c r="B164" s="1929">
        <v>1</v>
      </c>
      <c r="C164" s="1929">
        <v>2</v>
      </c>
      <c r="D164" s="1929">
        <v>3</v>
      </c>
      <c r="E164" s="1929">
        <v>4</v>
      </c>
      <c r="F164" s="1929">
        <v>5</v>
      </c>
      <c r="G164" s="1929">
        <v>6</v>
      </c>
      <c r="H164" s="1929">
        <v>7</v>
      </c>
      <c r="I164" s="1929">
        <v>8</v>
      </c>
      <c r="M164" s="1349"/>
    </row>
    <row r="165" spans="2:13" hidden="1" outlineLevel="1">
      <c r="B165" s="1919" t="s">
        <v>234</v>
      </c>
      <c r="C165" s="1922" t="s">
        <v>1897</v>
      </c>
      <c r="D165" s="1919" t="s">
        <v>1293</v>
      </c>
      <c r="E165" s="1966">
        <f>'38 ДПР'!E11</f>
        <v>0</v>
      </c>
      <c r="F165" s="1966">
        <f>'38 ДПР'!F11</f>
        <v>0</v>
      </c>
      <c r="G165" s="1966">
        <f>'38 ДПР'!G11</f>
        <v>0</v>
      </c>
      <c r="H165" s="1966">
        <f>'38 ДПР'!H11</f>
        <v>0</v>
      </c>
      <c r="I165" s="1966">
        <f>'38 ДПР'!I11</f>
        <v>0</v>
      </c>
      <c r="M165" s="1349"/>
    </row>
    <row r="166" spans="2:13" hidden="1" outlineLevel="1">
      <c r="B166" s="1919" t="s">
        <v>237</v>
      </c>
      <c r="C166" s="1922" t="s">
        <v>1898</v>
      </c>
      <c r="D166" s="1919" t="s">
        <v>268</v>
      </c>
      <c r="E166" s="1967">
        <f>'38 ДПР'!E12</f>
        <v>0</v>
      </c>
      <c r="F166" s="1967">
        <f>'38 ДПР'!F12</f>
        <v>0</v>
      </c>
      <c r="G166" s="1967">
        <f>'38 ДПР'!G12</f>
        <v>0</v>
      </c>
      <c r="H166" s="1967">
        <f>'38 ДПР'!H12</f>
        <v>0</v>
      </c>
      <c r="I166" s="1967">
        <f>'38 ДПР'!I12</f>
        <v>0</v>
      </c>
      <c r="M166" s="1349"/>
    </row>
    <row r="167" spans="2:13" hidden="1" outlineLevel="1">
      <c r="B167" s="1919" t="s">
        <v>239</v>
      </c>
      <c r="C167" s="1922" t="s">
        <v>1309</v>
      </c>
      <c r="D167" s="1919" t="s">
        <v>1293</v>
      </c>
      <c r="E167" s="1966">
        <f>'38 ДПР'!E13</f>
        <v>0</v>
      </c>
      <c r="F167" s="1966">
        <f>'38 ДПР'!F13</f>
        <v>0</v>
      </c>
      <c r="G167" s="1966">
        <f>'38 ДПР'!G13</f>
        <v>0</v>
      </c>
      <c r="H167" s="1966">
        <f>'38 ДПР'!H13</f>
        <v>0</v>
      </c>
      <c r="I167" s="1966">
        <f>'38 ДПР'!I13</f>
        <v>0</v>
      </c>
      <c r="M167" s="1349"/>
    </row>
    <row r="168" spans="2:13" hidden="1" outlineLevel="1">
      <c r="B168" s="1919" t="s">
        <v>242</v>
      </c>
      <c r="C168" s="1922" t="s">
        <v>1311</v>
      </c>
      <c r="D168" s="1919" t="s">
        <v>1293</v>
      </c>
      <c r="E168" s="1966">
        <f>'38 ДПР'!E14</f>
        <v>0</v>
      </c>
      <c r="F168" s="1966">
        <f>'38 ДПР'!F14</f>
        <v>0</v>
      </c>
      <c r="G168" s="1966">
        <f>'38 ДПР'!G14</f>
        <v>0</v>
      </c>
      <c r="H168" s="1966">
        <f>'38 ДПР'!H14</f>
        <v>0</v>
      </c>
      <c r="I168" s="1966">
        <f>'38 ДПР'!I14</f>
        <v>0</v>
      </c>
      <c r="M168" s="1349"/>
    </row>
    <row r="169" spans="2:13" ht="33.75" hidden="1" outlineLevel="1">
      <c r="B169" s="1919" t="s">
        <v>899</v>
      </c>
      <c r="C169" s="1922" t="s">
        <v>1312</v>
      </c>
      <c r="D169" s="1919" t="s">
        <v>268</v>
      </c>
      <c r="E169" s="1966">
        <f>'38 ДПР'!E15</f>
        <v>0</v>
      </c>
      <c r="F169" s="1966">
        <f>'38 ДПР'!F15</f>
        <v>0</v>
      </c>
      <c r="G169" s="1966">
        <f>'38 ДПР'!G15</f>
        <v>0</v>
      </c>
      <c r="H169" s="1966">
        <f>'38 ДПР'!H15</f>
        <v>0</v>
      </c>
      <c r="I169" s="1966">
        <f>'38 ДПР'!I15</f>
        <v>0</v>
      </c>
      <c r="M169" s="1349"/>
    </row>
    <row r="170" spans="2:13" ht="33.75" hidden="1" outlineLevel="1">
      <c r="B170" s="1919" t="s">
        <v>860</v>
      </c>
      <c r="C170" s="1922" t="s">
        <v>1313</v>
      </c>
      <c r="D170" s="1919" t="s">
        <v>268</v>
      </c>
      <c r="E170" s="1966">
        <f>'38 ДПР'!E16</f>
        <v>0</v>
      </c>
      <c r="F170" s="1966">
        <f>'38 ДПР'!F16</f>
        <v>0</v>
      </c>
      <c r="G170" s="1966">
        <f>'38 ДПР'!G16</f>
        <v>0</v>
      </c>
      <c r="H170" s="1966">
        <f>'38 ДПР'!H16</f>
        <v>0</v>
      </c>
      <c r="I170" s="1966">
        <f>'38 ДПР'!I16</f>
        <v>0</v>
      </c>
      <c r="M170" s="1349"/>
    </row>
    <row r="171" spans="2:13" hidden="1" outlineLevel="1">
      <c r="B171" s="1919" t="s">
        <v>862</v>
      </c>
      <c r="C171" s="1922" t="s">
        <v>1314</v>
      </c>
      <c r="D171" s="1919" t="s">
        <v>389</v>
      </c>
      <c r="E171" s="1966">
        <f>'38 ДПР'!E17</f>
        <v>0</v>
      </c>
      <c r="F171" s="1966">
        <f>'38 ДПР'!F17</f>
        <v>0</v>
      </c>
      <c r="G171" s="1966">
        <f>'38 ДПР'!G17</f>
        <v>0</v>
      </c>
      <c r="H171" s="1966">
        <f>'38 ДПР'!H17</f>
        <v>0</v>
      </c>
      <c r="I171" s="1966">
        <f>'38 ДПР'!I17</f>
        <v>0</v>
      </c>
      <c r="M171" s="1349"/>
    </row>
    <row r="172" spans="2:13" hidden="1" outlineLevel="1">
      <c r="B172" s="1919" t="s">
        <v>872</v>
      </c>
      <c r="C172" s="1922" t="s">
        <v>1899</v>
      </c>
      <c r="D172" s="1919"/>
      <c r="E172" s="1966">
        <f>'38 ДПР'!E18</f>
        <v>0</v>
      </c>
      <c r="F172" s="1966">
        <f>'38 ДПР'!F18</f>
        <v>0</v>
      </c>
      <c r="G172" s="1966">
        <f>'38 ДПР'!G18</f>
        <v>0</v>
      </c>
      <c r="H172" s="1966">
        <f>'38 ДПР'!H18</f>
        <v>0</v>
      </c>
      <c r="I172" s="1966">
        <f>'38 ДПР'!I18</f>
        <v>0</v>
      </c>
      <c r="M172" s="1349"/>
    </row>
    <row r="173" spans="2:13" ht="22.5" hidden="1" outlineLevel="1">
      <c r="B173" s="1919" t="s">
        <v>904</v>
      </c>
      <c r="C173" s="1922" t="s">
        <v>1315</v>
      </c>
      <c r="D173" s="1919" t="s">
        <v>268</v>
      </c>
      <c r="E173" s="1967">
        <f>'38 ДПР'!E19</f>
        <v>0</v>
      </c>
      <c r="F173" s="1967">
        <f>'38 ДПР'!F19</f>
        <v>0</v>
      </c>
      <c r="G173" s="1967">
        <f>'38 ДПР'!G19</f>
        <v>0</v>
      </c>
      <c r="H173" s="1967">
        <f>'38 ДПР'!H19</f>
        <v>0</v>
      </c>
      <c r="I173" s="1967">
        <f>'38 ДПР'!I19</f>
        <v>0</v>
      </c>
      <c r="M173" s="1349"/>
    </row>
    <row r="174" spans="2:13" hidden="1" outlineLevel="1">
      <c r="B174" s="1919" t="s">
        <v>906</v>
      </c>
      <c r="C174" s="1922" t="s">
        <v>1316</v>
      </c>
      <c r="D174" s="1919"/>
      <c r="E174" s="1966">
        <f>'38 ДПР'!E20</f>
        <v>0</v>
      </c>
      <c r="F174" s="1966">
        <f>'38 ДПР'!F20</f>
        <v>0</v>
      </c>
      <c r="G174" s="1966">
        <f>'38 ДПР'!G20</f>
        <v>0</v>
      </c>
      <c r="H174" s="1966">
        <f>'38 ДПР'!H20</f>
        <v>0</v>
      </c>
      <c r="I174" s="1966">
        <f>'38 ДПР'!I20</f>
        <v>0</v>
      </c>
      <c r="M174" s="1349"/>
    </row>
    <row r="175" spans="2:13" ht="22.5" hidden="1" outlineLevel="1">
      <c r="B175" s="1919" t="s">
        <v>908</v>
      </c>
      <c r="C175" s="1922" t="s">
        <v>1317</v>
      </c>
      <c r="D175" s="1919" t="s">
        <v>1318</v>
      </c>
      <c r="E175" s="1966">
        <f>'38 ДПР'!E21</f>
        <v>0</v>
      </c>
      <c r="F175" s="1966">
        <f>'38 ДПР'!F21</f>
        <v>0</v>
      </c>
      <c r="G175" s="1966">
        <f>'38 ДПР'!G21</f>
        <v>0</v>
      </c>
      <c r="H175" s="1966">
        <f>'38 ДПР'!H21</f>
        <v>0</v>
      </c>
      <c r="I175" s="1966">
        <f>'38 ДПР'!I21</f>
        <v>0</v>
      </c>
      <c r="M175" s="1349"/>
    </row>
    <row r="176" spans="2:13" ht="22.5" hidden="1" outlineLevel="1">
      <c r="B176" s="1919" t="s">
        <v>910</v>
      </c>
      <c r="C176" s="1922" t="s">
        <v>1319</v>
      </c>
      <c r="D176" s="1919" t="s">
        <v>1320</v>
      </c>
      <c r="E176" s="1966">
        <f>'38 ДПР'!E22</f>
        <v>0</v>
      </c>
      <c r="F176" s="1966">
        <f>'38 ДПР'!F22</f>
        <v>0</v>
      </c>
      <c r="G176" s="1966">
        <f>'38 ДПР'!G22</f>
        <v>0</v>
      </c>
      <c r="H176" s="1966">
        <f>'38 ДПР'!H22</f>
        <v>0</v>
      </c>
      <c r="I176" s="1966">
        <f>'38 ДПР'!I22</f>
        <v>0</v>
      </c>
      <c r="M176" s="1349"/>
    </row>
    <row r="177" spans="2:13" hidden="1" outlineLevel="1">
      <c r="B177" s="1919" t="s">
        <v>912</v>
      </c>
      <c r="C177" s="1922" t="s">
        <v>1321</v>
      </c>
      <c r="D177" s="1919"/>
      <c r="E177" s="1966">
        <f>'38 ДПР'!E23</f>
        <v>0</v>
      </c>
      <c r="F177" s="1966">
        <f>'38 ДПР'!F23</f>
        <v>0</v>
      </c>
      <c r="G177" s="1966">
        <f>'38 ДПР'!G23</f>
        <v>0</v>
      </c>
      <c r="H177" s="1966">
        <f>'38 ДПР'!H23</f>
        <v>0</v>
      </c>
      <c r="I177" s="1966">
        <f>'38 ДПР'!I23</f>
        <v>0</v>
      </c>
      <c r="M177" s="1349"/>
    </row>
    <row r="178" spans="2:13" ht="22.5" hidden="1" outlineLevel="1">
      <c r="B178" s="1919" t="s">
        <v>1322</v>
      </c>
      <c r="C178" s="1922" t="s">
        <v>1323</v>
      </c>
      <c r="D178" s="1919"/>
      <c r="E178" s="1966">
        <f>'38 ДПР'!E24</f>
        <v>0</v>
      </c>
      <c r="F178" s="1966">
        <f>'38 ДПР'!F24</f>
        <v>0</v>
      </c>
      <c r="G178" s="1966">
        <f>'38 ДПР'!G24</f>
        <v>0</v>
      </c>
      <c r="H178" s="1966">
        <f>'38 ДПР'!H24</f>
        <v>0</v>
      </c>
      <c r="I178" s="1966">
        <f>'38 ДПР'!I24</f>
        <v>0</v>
      </c>
      <c r="M178" s="1349"/>
    </row>
    <row r="179" spans="2:13" collapsed="1">
      <c r="M179" s="1349"/>
    </row>
    <row r="180" spans="2:13" ht="18">
      <c r="B180" s="1485" t="s">
        <v>1896</v>
      </c>
      <c r="I180" s="1909" t="s">
        <v>1306</v>
      </c>
      <c r="M180" s="1349"/>
    </row>
    <row r="181" spans="2:13">
      <c r="B181" s="1918" t="s">
        <v>12</v>
      </c>
      <c r="C181" s="1918" t="s">
        <v>954</v>
      </c>
      <c r="D181" s="1918" t="s">
        <v>262</v>
      </c>
      <c r="E181" s="1380" t="str">
        <f>CONCATENATE('0. Анкета'!C13," год")</f>
        <v>2019 год</v>
      </c>
      <c r="F181" s="1380" t="str">
        <f>CONCATENATE('0. Анкета'!C13+1," год")</f>
        <v>2020 год</v>
      </c>
      <c r="G181" s="1380" t="str">
        <f>CONCATENATE('0. Анкета'!C13+2," год")</f>
        <v>2021 год</v>
      </c>
      <c r="H181" s="1380" t="str">
        <f>CONCATENATE('0. Анкета'!C13+3," год")</f>
        <v>2022 год</v>
      </c>
      <c r="I181" s="1380" t="str">
        <f>CONCATENATE('0. Анкета'!C13+4," год")</f>
        <v>2023 год</v>
      </c>
      <c r="M181" s="1349"/>
    </row>
    <row r="182" spans="2:13">
      <c r="B182" s="1929">
        <v>1</v>
      </c>
      <c r="C182" s="1929">
        <v>2</v>
      </c>
      <c r="D182" s="1929">
        <v>3</v>
      </c>
      <c r="E182" s="1929">
        <v>4</v>
      </c>
      <c r="F182" s="1929">
        <v>5</v>
      </c>
      <c r="G182" s="1929">
        <v>6</v>
      </c>
      <c r="H182" s="1929">
        <v>7</v>
      </c>
      <c r="I182" s="1929">
        <v>8</v>
      </c>
      <c r="M182" s="1349"/>
    </row>
    <row r="183" spans="2:13">
      <c r="B183" s="1919" t="s">
        <v>234</v>
      </c>
      <c r="C183" s="1922" t="s">
        <v>1900</v>
      </c>
      <c r="D183" s="1919" t="s">
        <v>1293</v>
      </c>
      <c r="E183" s="1966">
        <f>'38 ДПР'!E29</f>
        <v>0</v>
      </c>
      <c r="F183" s="1966">
        <f>'38 ДПР'!F29</f>
        <v>0</v>
      </c>
      <c r="G183" s="1966">
        <f>'38 ДПР'!G29</f>
        <v>0</v>
      </c>
      <c r="H183" s="1966">
        <f>'38 ДПР'!H29</f>
        <v>0</v>
      </c>
      <c r="I183" s="1966">
        <f>'38 ДПР'!I29</f>
        <v>0</v>
      </c>
      <c r="M183" s="1349"/>
    </row>
    <row r="184" spans="2:13">
      <c r="B184" s="1919" t="s">
        <v>237</v>
      </c>
      <c r="C184" s="1922" t="s">
        <v>1901</v>
      </c>
      <c r="D184" s="1919" t="s">
        <v>268</v>
      </c>
      <c r="E184" s="1967">
        <f>'38 ДПР'!E30</f>
        <v>0</v>
      </c>
      <c r="F184" s="1967">
        <f>'38 ДПР'!F30</f>
        <v>0</v>
      </c>
      <c r="G184" s="1967">
        <f>'38 ДПР'!G30</f>
        <v>0</v>
      </c>
      <c r="H184" s="1967">
        <f>'38 ДПР'!H30</f>
        <v>0</v>
      </c>
      <c r="I184" s="1967">
        <f>'38 ДПР'!I30</f>
        <v>0</v>
      </c>
      <c r="M184" s="1349"/>
    </row>
    <row r="185" spans="2:13">
      <c r="B185" s="1919" t="s">
        <v>872</v>
      </c>
      <c r="C185" s="1922" t="s">
        <v>1902</v>
      </c>
      <c r="D185" s="1919"/>
      <c r="E185" s="1966">
        <f>'38 ДПР'!E31</f>
        <v>0</v>
      </c>
      <c r="F185" s="1966">
        <f>'38 ДПР'!F31</f>
        <v>0</v>
      </c>
      <c r="G185" s="1966">
        <f>'38 ДПР'!G31</f>
        <v>0</v>
      </c>
      <c r="H185" s="1966">
        <f>'38 ДПР'!H31</f>
        <v>0</v>
      </c>
      <c r="I185" s="1966">
        <f>'38 ДПР'!I31</f>
        <v>0</v>
      </c>
      <c r="M185" s="1349"/>
    </row>
    <row r="186" spans="2:13" ht="22.5">
      <c r="B186" s="1919" t="s">
        <v>904</v>
      </c>
      <c r="C186" s="1922" t="s">
        <v>1315</v>
      </c>
      <c r="D186" s="1919" t="s">
        <v>268</v>
      </c>
      <c r="E186" s="1967">
        <f>'38 ДПР'!E32</f>
        <v>0</v>
      </c>
      <c r="F186" s="1967">
        <f>'38 ДПР'!F32</f>
        <v>0</v>
      </c>
      <c r="G186" s="1967">
        <f>'38 ДПР'!G32</f>
        <v>0</v>
      </c>
      <c r="H186" s="1967">
        <f>'38 ДПР'!H32</f>
        <v>0</v>
      </c>
      <c r="I186" s="1967">
        <f>'38 ДПР'!I32</f>
        <v>0</v>
      </c>
      <c r="M186" s="1349"/>
    </row>
    <row r="187" spans="2:13">
      <c r="B187" s="1919" t="s">
        <v>906</v>
      </c>
      <c r="C187" s="1922" t="s">
        <v>1316</v>
      </c>
      <c r="D187" s="1919"/>
      <c r="E187" s="1966" t="str">
        <f>'38 ДПР'!E33</f>
        <v>х</v>
      </c>
      <c r="F187" s="1966" t="str">
        <f>'38 ДПР'!F33</f>
        <v>х</v>
      </c>
      <c r="G187" s="1966" t="str">
        <f>'38 ДПР'!G33</f>
        <v>х</v>
      </c>
      <c r="H187" s="1966" t="str">
        <f>'38 ДПР'!H33</f>
        <v>х</v>
      </c>
      <c r="I187" s="1966" t="str">
        <f>'38 ДПР'!I33</f>
        <v>х</v>
      </c>
      <c r="M187" s="1349"/>
    </row>
    <row r="188" spans="2:13" ht="22.5">
      <c r="B188" s="1919" t="s">
        <v>908</v>
      </c>
      <c r="C188" s="1922" t="s">
        <v>1317</v>
      </c>
      <c r="D188" s="1919" t="s">
        <v>1318</v>
      </c>
      <c r="E188" s="1966" t="str">
        <f>'38 ДПР'!E34</f>
        <v>х</v>
      </c>
      <c r="F188" s="1966" t="str">
        <f>'38 ДПР'!F34</f>
        <v>х</v>
      </c>
      <c r="G188" s="1966" t="str">
        <f>'38 ДПР'!G34</f>
        <v>х</v>
      </c>
      <c r="H188" s="1966" t="str">
        <f>'38 ДПР'!H34</f>
        <v>х</v>
      </c>
      <c r="I188" s="1966" t="str">
        <f>'38 ДПР'!I34</f>
        <v>х</v>
      </c>
      <c r="M188" s="1349"/>
    </row>
    <row r="189" spans="2:13" ht="22.5">
      <c r="B189" s="1919" t="s">
        <v>910</v>
      </c>
      <c r="C189" s="1922" t="s">
        <v>1319</v>
      </c>
      <c r="D189" s="1919" t="s">
        <v>1320</v>
      </c>
      <c r="E189" s="1966">
        <f>'38 ДПР'!E35</f>
        <v>0</v>
      </c>
      <c r="F189" s="1966">
        <f>'38 ДПР'!F35</f>
        <v>0</v>
      </c>
      <c r="G189" s="1966">
        <f>'38 ДПР'!G35</f>
        <v>0</v>
      </c>
      <c r="H189" s="1966">
        <f>'38 ДПР'!H35</f>
        <v>0</v>
      </c>
      <c r="I189" s="1966">
        <f>'38 ДПР'!I35</f>
        <v>0</v>
      </c>
      <c r="M189" s="1349"/>
    </row>
    <row r="190" spans="2:13">
      <c r="B190" s="1919" t="s">
        <v>912</v>
      </c>
      <c r="C190" s="1922" t="s">
        <v>1321</v>
      </c>
      <c r="D190" s="1919"/>
      <c r="E190" s="1966">
        <f>'38 ДПР'!E36</f>
        <v>0</v>
      </c>
      <c r="F190" s="1966">
        <f>'38 ДПР'!F36</f>
        <v>0</v>
      </c>
      <c r="G190" s="1966">
        <f>'38 ДПР'!G36</f>
        <v>0</v>
      </c>
      <c r="H190" s="1966">
        <f>'38 ДПР'!H36</f>
        <v>0</v>
      </c>
      <c r="I190" s="1966">
        <f>'38 ДПР'!I36</f>
        <v>0</v>
      </c>
      <c r="M190" s="1349"/>
    </row>
    <row r="191" spans="2:13" ht="22.5">
      <c r="B191" s="1919" t="s">
        <v>1322</v>
      </c>
      <c r="C191" s="1922" t="s">
        <v>1323</v>
      </c>
      <c r="D191" s="1919"/>
      <c r="E191" s="1966">
        <f>'38 ДПР'!E37</f>
        <v>0</v>
      </c>
      <c r="F191" s="1966">
        <f>'38 ДПР'!F37</f>
        <v>0</v>
      </c>
      <c r="G191" s="1966">
        <f>'38 ДПР'!G37</f>
        <v>0</v>
      </c>
      <c r="H191" s="1966">
        <f>'38 ДПР'!H37</f>
        <v>0</v>
      </c>
      <c r="I191" s="1966">
        <f>'38 ДПР'!I37</f>
        <v>0</v>
      </c>
      <c r="M191" s="1349"/>
    </row>
    <row r="192" spans="2:13">
      <c r="M192" s="1349"/>
    </row>
    <row r="193" spans="2:13" ht="48" customHeight="1">
      <c r="B193" s="2120" t="s">
        <v>1324</v>
      </c>
      <c r="C193" s="2120"/>
      <c r="D193" s="2120"/>
      <c r="E193" s="2120"/>
      <c r="F193" s="2120"/>
      <c r="G193" s="2120"/>
      <c r="H193" s="2120"/>
      <c r="I193" s="2120"/>
      <c r="J193" s="2120"/>
      <c r="K193" s="2120"/>
      <c r="M193" s="1349"/>
    </row>
    <row r="194" spans="2:13">
      <c r="M194" s="1349"/>
    </row>
    <row r="195" spans="2:13" ht="18" customHeight="1">
      <c r="B195" s="2014" t="s">
        <v>1325</v>
      </c>
      <c r="C195" s="2014"/>
      <c r="D195" s="2014"/>
      <c r="E195" s="2014"/>
      <c r="F195" s="2014"/>
      <c r="G195" s="2014"/>
      <c r="H195" s="2014"/>
      <c r="I195" s="2014"/>
      <c r="J195" s="2014"/>
      <c r="K195" s="2014"/>
      <c r="M195" s="1349"/>
    </row>
    <row r="196" spans="2:13">
      <c r="M196" s="1349"/>
    </row>
    <row r="197" spans="2:13" ht="35.25" customHeight="1">
      <c r="B197" s="2025" t="s">
        <v>1326</v>
      </c>
      <c r="C197" s="2025"/>
      <c r="D197" s="2025"/>
      <c r="E197" s="2025"/>
      <c r="F197" s="2025"/>
      <c r="G197" s="2025"/>
      <c r="H197" s="2025"/>
      <c r="I197" s="2025"/>
      <c r="J197" s="2025"/>
      <c r="K197" s="2025"/>
      <c r="M197" s="1349"/>
    </row>
    <row r="198" spans="2:13" ht="35.25" customHeight="1">
      <c r="B198" s="2025" t="s">
        <v>1327</v>
      </c>
      <c r="C198" s="2025"/>
      <c r="D198" s="2025"/>
      <c r="E198" s="2025"/>
      <c r="F198" s="2025"/>
      <c r="G198" s="2025"/>
      <c r="H198" s="2025"/>
      <c r="I198" s="2025"/>
      <c r="J198" s="2025"/>
      <c r="K198" s="2025"/>
      <c r="M198" s="1349"/>
    </row>
    <row r="199" spans="2:13">
      <c r="M199" s="1349"/>
    </row>
    <row r="200" spans="2:13" ht="33" hidden="1" customHeight="1" outlineLevel="1">
      <c r="B200" s="2003" t="s">
        <v>1328</v>
      </c>
      <c r="C200" s="2003"/>
      <c r="D200" s="2003"/>
      <c r="E200" s="2003"/>
      <c r="F200" s="2003"/>
      <c r="G200" s="2003"/>
      <c r="H200" s="2003"/>
      <c r="I200" s="2003"/>
      <c r="J200" s="2003"/>
      <c r="M200" s="1349"/>
    </row>
    <row r="201" spans="2:13" ht="18" hidden="1" outlineLevel="1">
      <c r="B201" s="1485" t="s">
        <v>1895</v>
      </c>
      <c r="J201" s="1909" t="s">
        <v>1329</v>
      </c>
      <c r="M201" s="1349"/>
    </row>
    <row r="202" spans="2:13" hidden="1" outlineLevel="1">
      <c r="B202" s="2123" t="s">
        <v>12</v>
      </c>
      <c r="C202" s="2123" t="s">
        <v>954</v>
      </c>
      <c r="D202" s="2123" t="s">
        <v>262</v>
      </c>
      <c r="E202" s="1900" t="str">
        <f>CONCATENATE(F4-3," год")</f>
        <v>2021 год</v>
      </c>
      <c r="F202" s="1900" t="str">
        <f>CONCATENATE(F4-2," год")</f>
        <v>2022 год</v>
      </c>
      <c r="G202" s="1900" t="str">
        <f>CONCATENATE(F4-1," год")</f>
        <v>2023 год</v>
      </c>
      <c r="H202" s="2127" t="str">
        <f>CONCATENATE(F4," год")</f>
        <v>2024 год</v>
      </c>
      <c r="I202" s="2128"/>
      <c r="J202" s="2129"/>
      <c r="M202" s="1349"/>
    </row>
    <row r="203" spans="2:13" ht="22.5" hidden="1" outlineLevel="1">
      <c r="B203" s="2123"/>
      <c r="C203" s="2123"/>
      <c r="D203" s="2123"/>
      <c r="E203" s="1918" t="s">
        <v>1287</v>
      </c>
      <c r="F203" s="1918" t="s">
        <v>1287</v>
      </c>
      <c r="G203" s="1918" t="s">
        <v>1288</v>
      </c>
      <c r="H203" s="1918" t="s">
        <v>1330</v>
      </c>
      <c r="I203" s="1918" t="s">
        <v>1290</v>
      </c>
      <c r="J203" s="1381" t="s">
        <v>263</v>
      </c>
      <c r="M203" s="1349"/>
    </row>
    <row r="204" spans="2:13" hidden="1" outlineLevel="1">
      <c r="B204" s="1929">
        <v>1</v>
      </c>
      <c r="C204" s="1929">
        <v>2</v>
      </c>
      <c r="D204" s="1929">
        <v>3</v>
      </c>
      <c r="E204" s="1929">
        <v>4</v>
      </c>
      <c r="F204" s="1929">
        <v>4</v>
      </c>
      <c r="G204" s="1929">
        <v>5</v>
      </c>
      <c r="H204" s="1929">
        <v>6</v>
      </c>
      <c r="I204" s="1929">
        <v>7</v>
      </c>
      <c r="J204" s="1367" t="s">
        <v>1331</v>
      </c>
      <c r="M204" s="1349"/>
    </row>
    <row r="205" spans="2:13" hidden="1" outlineLevel="1">
      <c r="B205" s="1918" t="s">
        <v>234</v>
      </c>
      <c r="C205" s="1407" t="s">
        <v>1332</v>
      </c>
      <c r="D205" s="1918" t="s">
        <v>226</v>
      </c>
      <c r="E205" s="1950">
        <f>SUM(E206,E210)</f>
        <v>0</v>
      </c>
      <c r="F205" s="1950">
        <f>SUM(F206,F210)</f>
        <v>0</v>
      </c>
      <c r="G205" s="1950">
        <f>SUM(G206,G210)</f>
        <v>0</v>
      </c>
      <c r="H205" s="1950">
        <f>SUM(H206,H210)</f>
        <v>0</v>
      </c>
      <c r="I205" s="1950">
        <f>SUM(I206,I210)</f>
        <v>0</v>
      </c>
      <c r="J205" s="1964">
        <f t="shared" ref="J205:J225" si="2">IFERROR(I205-H205,"-")</f>
        <v>0</v>
      </c>
      <c r="M205" s="1349"/>
    </row>
    <row r="206" spans="2:13" ht="22.5" hidden="1" outlineLevel="1">
      <c r="B206" s="1918" t="s">
        <v>267</v>
      </c>
      <c r="C206" s="1407" t="s">
        <v>1333</v>
      </c>
      <c r="D206" s="1918" t="s">
        <v>226</v>
      </c>
      <c r="E206" s="1950">
        <f>IFERROR(E207*E209,"-")</f>
        <v>0</v>
      </c>
      <c r="F206" s="1950">
        <f>IFERROR(F207*F209,"-")</f>
        <v>0</v>
      </c>
      <c r="G206" s="1950">
        <f>IFERROR(G207*G209,"-")</f>
        <v>0</v>
      </c>
      <c r="H206" s="1950">
        <f>IFERROR(H207*H209,"-")</f>
        <v>0</v>
      </c>
      <c r="I206" s="1950">
        <f>IFERROR(I207*I209,"-")</f>
        <v>0</v>
      </c>
      <c r="J206" s="1952">
        <f t="shared" si="2"/>
        <v>0</v>
      </c>
      <c r="M206" s="1349"/>
    </row>
    <row r="207" spans="2:13" hidden="1" outlineLevel="1">
      <c r="B207" s="2055" t="s">
        <v>1334</v>
      </c>
      <c r="C207" s="2130" t="s">
        <v>1335</v>
      </c>
      <c r="D207" s="1919" t="s">
        <v>249</v>
      </c>
      <c r="E207" s="1953">
        <f>E277</f>
        <v>0</v>
      </c>
      <c r="F207" s="1953">
        <f t="shared" ref="F207:I209" si="3">G277</f>
        <v>0</v>
      </c>
      <c r="G207" s="1953">
        <f t="shared" si="3"/>
        <v>0</v>
      </c>
      <c r="H207" s="1953">
        <f t="shared" si="3"/>
        <v>0</v>
      </c>
      <c r="I207" s="1953">
        <f t="shared" si="3"/>
        <v>0</v>
      </c>
      <c r="J207" s="1948">
        <f t="shared" si="2"/>
        <v>0</v>
      </c>
      <c r="M207" s="1349"/>
    </row>
    <row r="208" spans="2:13" hidden="1" outlineLevel="1">
      <c r="B208" s="2055"/>
      <c r="C208" s="2130"/>
      <c r="D208" s="1919" t="s">
        <v>268</v>
      </c>
      <c r="E208" s="1961" t="str">
        <f>E278</f>
        <v>х</v>
      </c>
      <c r="F208" s="1961" t="str">
        <f t="shared" si="3"/>
        <v>х</v>
      </c>
      <c r="G208" s="1961" t="str">
        <f t="shared" si="3"/>
        <v>х</v>
      </c>
      <c r="H208" s="1961" t="str">
        <f t="shared" si="3"/>
        <v>х</v>
      </c>
      <c r="I208" s="1961" t="str">
        <f t="shared" si="3"/>
        <v>х</v>
      </c>
      <c r="J208" s="1948" t="str">
        <f t="shared" si="2"/>
        <v>-</v>
      </c>
      <c r="M208" s="1349"/>
    </row>
    <row r="209" spans="2:13" hidden="1" outlineLevel="1">
      <c r="B209" s="1919" t="s">
        <v>1336</v>
      </c>
      <c r="C209" s="1920" t="s">
        <v>1337</v>
      </c>
      <c r="D209" s="1919" t="s">
        <v>285</v>
      </c>
      <c r="E209" s="1953">
        <f>E279</f>
        <v>0</v>
      </c>
      <c r="F209" s="1953">
        <f t="shared" si="3"/>
        <v>0</v>
      </c>
      <c r="G209" s="1953">
        <f t="shared" si="3"/>
        <v>0</v>
      </c>
      <c r="H209" s="1953">
        <f t="shared" si="3"/>
        <v>0</v>
      </c>
      <c r="I209" s="1953">
        <f t="shared" si="3"/>
        <v>0</v>
      </c>
      <c r="J209" s="1948">
        <f t="shared" si="2"/>
        <v>0</v>
      </c>
      <c r="M209" s="1349"/>
    </row>
    <row r="210" spans="2:13" ht="22.5" hidden="1" outlineLevel="1">
      <c r="B210" s="1918" t="s">
        <v>269</v>
      </c>
      <c r="C210" s="1407" t="s">
        <v>1338</v>
      </c>
      <c r="D210" s="1918" t="s">
        <v>226</v>
      </c>
      <c r="E210" s="1950">
        <f>SUM(E211,E212,E222:E228)</f>
        <v>0</v>
      </c>
      <c r="F210" s="1950">
        <f>SUM(F211,F212,F222:F228)</f>
        <v>0</v>
      </c>
      <c r="G210" s="1950">
        <f>SUM(G211,G212,G222:G228)</f>
        <v>0</v>
      </c>
      <c r="H210" s="1950">
        <f>SUM(H211,H212,H222:H228)</f>
        <v>0</v>
      </c>
      <c r="I210" s="1950">
        <f>SUM(I211,I212,I222:I228)</f>
        <v>0</v>
      </c>
      <c r="J210" s="1952">
        <f t="shared" si="2"/>
        <v>0</v>
      </c>
      <c r="M210" s="1349"/>
    </row>
    <row r="211" spans="2:13" hidden="1" outlineLevel="1">
      <c r="B211" s="1918" t="s">
        <v>1339</v>
      </c>
      <c r="C211" s="1407" t="s">
        <v>1905</v>
      </c>
      <c r="D211" s="1918" t="s">
        <v>226</v>
      </c>
      <c r="E211" s="1382"/>
      <c r="F211" s="1382"/>
      <c r="G211" s="1965" t="str">
        <f>G338</f>
        <v>х</v>
      </c>
      <c r="H211" s="1965" t="str">
        <f>H320</f>
        <v>х</v>
      </c>
      <c r="I211" s="1965" t="str">
        <f>H338</f>
        <v>х</v>
      </c>
      <c r="J211" s="1952" t="str">
        <f t="shared" si="2"/>
        <v>-</v>
      </c>
      <c r="M211" s="1349"/>
    </row>
    <row r="212" spans="2:13" hidden="1" outlineLevel="1">
      <c r="B212" s="1918" t="s">
        <v>676</v>
      </c>
      <c r="C212" s="1407" t="s">
        <v>1340</v>
      </c>
      <c r="D212" s="1918" t="s">
        <v>226</v>
      </c>
      <c r="E212" s="1950">
        <f>SUM(E213:E220)</f>
        <v>0</v>
      </c>
      <c r="F212" s="1950">
        <f>SUM(F213:F220)</f>
        <v>0</v>
      </c>
      <c r="G212" s="1950">
        <f>SUM(G213:G220)</f>
        <v>0</v>
      </c>
      <c r="H212" s="1950">
        <f>SUM(H213:H220)</f>
        <v>0</v>
      </c>
      <c r="I212" s="1950">
        <f>SUM(I213:I220)</f>
        <v>0</v>
      </c>
      <c r="J212" s="1952">
        <f t="shared" si="2"/>
        <v>0</v>
      </c>
      <c r="M212" s="1349"/>
    </row>
    <row r="213" spans="2:13" hidden="1" outlineLevel="1">
      <c r="B213" s="1919" t="s">
        <v>1341</v>
      </c>
      <c r="C213" s="1920" t="s">
        <v>1342</v>
      </c>
      <c r="D213" s="1919" t="s">
        <v>226</v>
      </c>
      <c r="E213" s="1378"/>
      <c r="F213" s="1953">
        <f>J365</f>
        <v>0</v>
      </c>
      <c r="G213" s="1953">
        <f>'11 (ФСК)'!H8</f>
        <v>0</v>
      </c>
      <c r="H213" s="1953">
        <f>G382</f>
        <v>0</v>
      </c>
      <c r="I213" s="1953">
        <f>J382</f>
        <v>0</v>
      </c>
      <c r="J213" s="1948">
        <f t="shared" si="2"/>
        <v>0</v>
      </c>
      <c r="M213" s="1349"/>
    </row>
    <row r="214" spans="2:13" hidden="1" outlineLevel="1">
      <c r="B214" s="1919" t="s">
        <v>1343</v>
      </c>
      <c r="C214" s="1383" t="s">
        <v>359</v>
      </c>
      <c r="D214" s="1917" t="s">
        <v>226</v>
      </c>
      <c r="E214" s="1953">
        <f>D413</f>
        <v>0</v>
      </c>
      <c r="F214" s="1953">
        <f>F413</f>
        <v>0</v>
      </c>
      <c r="G214" s="1953">
        <f>H413</f>
        <v>0</v>
      </c>
      <c r="H214" s="1953">
        <f>I413</f>
        <v>0</v>
      </c>
      <c r="I214" s="1953">
        <f>J413</f>
        <v>0</v>
      </c>
      <c r="J214" s="1948">
        <f t="shared" si="2"/>
        <v>0</v>
      </c>
      <c r="M214" s="1349"/>
    </row>
    <row r="215" spans="2:13" hidden="1" outlineLevel="1">
      <c r="B215" s="1919" t="s">
        <v>1344</v>
      </c>
      <c r="C215" s="1383" t="s">
        <v>1345</v>
      </c>
      <c r="D215" s="1917" t="s">
        <v>226</v>
      </c>
      <c r="E215" s="1951">
        <f>D441</f>
        <v>0</v>
      </c>
      <c r="F215" s="1951">
        <f>F441</f>
        <v>0</v>
      </c>
      <c r="G215" s="1951">
        <f>H441</f>
        <v>0</v>
      </c>
      <c r="H215" s="1951">
        <f>I441</f>
        <v>0</v>
      </c>
      <c r="I215" s="1951">
        <f>J441</f>
        <v>0</v>
      </c>
      <c r="J215" s="1948">
        <f t="shared" si="2"/>
        <v>0</v>
      </c>
      <c r="M215" s="1349"/>
    </row>
    <row r="216" spans="2:13" hidden="1" outlineLevel="1">
      <c r="B216" s="1919" t="s">
        <v>1346</v>
      </c>
      <c r="C216" s="1383" t="s">
        <v>1347</v>
      </c>
      <c r="D216" s="1917" t="s">
        <v>226</v>
      </c>
      <c r="E216" s="1951">
        <f>E463</f>
        <v>0</v>
      </c>
      <c r="F216" s="1951">
        <f>G463</f>
        <v>0</v>
      </c>
      <c r="G216" s="1953">
        <f>H463</f>
        <v>0</v>
      </c>
      <c r="H216" s="1953">
        <f>I463</f>
        <v>0</v>
      </c>
      <c r="I216" s="1953">
        <f>J463</f>
        <v>0</v>
      </c>
      <c r="J216" s="1948">
        <f t="shared" si="2"/>
        <v>0</v>
      </c>
      <c r="M216" s="1349"/>
    </row>
    <row r="217" spans="2:13" hidden="1" outlineLevel="1">
      <c r="B217" s="1919" t="s">
        <v>1348</v>
      </c>
      <c r="C217" s="1383" t="s">
        <v>371</v>
      </c>
      <c r="D217" s="1917" t="s">
        <v>226</v>
      </c>
      <c r="E217" s="1951">
        <f>D488</f>
        <v>0</v>
      </c>
      <c r="F217" s="1951">
        <f>F488</f>
        <v>0</v>
      </c>
      <c r="G217" s="1953">
        <f>H488</f>
        <v>0</v>
      </c>
      <c r="H217" s="1953">
        <f>I488</f>
        <v>0</v>
      </c>
      <c r="I217" s="1953">
        <f>J488</f>
        <v>0</v>
      </c>
      <c r="J217" s="1948">
        <f t="shared" si="2"/>
        <v>0</v>
      </c>
      <c r="M217" s="1349"/>
    </row>
    <row r="218" spans="2:13" ht="33.75" hidden="1" outlineLevel="1">
      <c r="B218" s="1919" t="s">
        <v>1350</v>
      </c>
      <c r="C218" s="1920" t="s">
        <v>1351</v>
      </c>
      <c r="D218" s="1919" t="s">
        <v>226</v>
      </c>
      <c r="E218" s="1378"/>
      <c r="F218" s="1378"/>
      <c r="G218" s="1377"/>
      <c r="H218" s="1948">
        <f>D510</f>
        <v>0</v>
      </c>
      <c r="I218" s="1948">
        <f>E510</f>
        <v>0</v>
      </c>
      <c r="J218" s="1948">
        <f t="shared" si="2"/>
        <v>0</v>
      </c>
      <c r="M218" s="1349"/>
    </row>
    <row r="219" spans="2:13" ht="22.5" hidden="1" outlineLevel="1">
      <c r="B219" s="1919" t="s">
        <v>1352</v>
      </c>
      <c r="C219" s="1920" t="s">
        <v>1353</v>
      </c>
      <c r="D219" s="1919" t="s">
        <v>226</v>
      </c>
      <c r="E219" s="1953">
        <f>D530</f>
        <v>0</v>
      </c>
      <c r="F219" s="1953">
        <f>F530</f>
        <v>0</v>
      </c>
      <c r="G219" s="1953">
        <f>H530</f>
        <v>0</v>
      </c>
      <c r="H219" s="1953">
        <f>I530</f>
        <v>0</v>
      </c>
      <c r="I219" s="1953">
        <f>J530</f>
        <v>0</v>
      </c>
      <c r="J219" s="1948">
        <f t="shared" si="2"/>
        <v>0</v>
      </c>
      <c r="M219" s="1349"/>
    </row>
    <row r="220" spans="2:13" hidden="1" outlineLevel="1">
      <c r="B220" s="1919" t="s">
        <v>1354</v>
      </c>
      <c r="C220" s="1920" t="s">
        <v>1365</v>
      </c>
      <c r="D220" s="1919" t="s">
        <v>226</v>
      </c>
      <c r="E220" s="1953">
        <f>D664</f>
        <v>0</v>
      </c>
      <c r="F220" s="1953">
        <f>F664</f>
        <v>0</v>
      </c>
      <c r="G220" s="1948">
        <f>H664</f>
        <v>0</v>
      </c>
      <c r="H220" s="1948">
        <f>I664</f>
        <v>0</v>
      </c>
      <c r="I220" s="1948">
        <f>J664</f>
        <v>0</v>
      </c>
      <c r="J220" s="1948">
        <f t="shared" si="2"/>
        <v>0</v>
      </c>
      <c r="M220" s="1349"/>
    </row>
    <row r="221" spans="2:13" hidden="1" outlineLevel="1">
      <c r="B221" s="1919" t="s">
        <v>1366</v>
      </c>
      <c r="C221" s="1384"/>
      <c r="D221" s="1919" t="s">
        <v>226</v>
      </c>
      <c r="E221" s="1378"/>
      <c r="F221" s="1378"/>
      <c r="G221" s="1377"/>
      <c r="H221" s="1377"/>
      <c r="I221" s="1377"/>
      <c r="J221" s="1948">
        <f t="shared" si="2"/>
        <v>0</v>
      </c>
      <c r="M221" s="1349"/>
    </row>
    <row r="222" spans="2:13" hidden="1" outlineLevel="1">
      <c r="B222" s="1918" t="s">
        <v>270</v>
      </c>
      <c r="C222" s="1407" t="s">
        <v>1367</v>
      </c>
      <c r="D222" s="1918" t="s">
        <v>226</v>
      </c>
      <c r="E222" s="1382"/>
      <c r="F222" s="1382"/>
      <c r="G222" s="1952">
        <f>E737</f>
        <v>0</v>
      </c>
      <c r="H222" s="1952">
        <f>F737</f>
        <v>0</v>
      </c>
      <c r="I222" s="1952">
        <f>G737</f>
        <v>0</v>
      </c>
      <c r="J222" s="1952">
        <f t="shared" si="2"/>
        <v>0</v>
      </c>
      <c r="M222" s="1349"/>
    </row>
    <row r="223" spans="2:13" hidden="1" outlineLevel="1">
      <c r="B223" s="1918" t="s">
        <v>286</v>
      </c>
      <c r="C223" s="1386" t="s">
        <v>1368</v>
      </c>
      <c r="D223" s="1924" t="s">
        <v>226</v>
      </c>
      <c r="E223" s="1361"/>
      <c r="F223" s="1361"/>
      <c r="G223" s="1952">
        <f>E734</f>
        <v>0</v>
      </c>
      <c r="H223" s="1952">
        <f>F734</f>
        <v>0</v>
      </c>
      <c r="I223" s="1952">
        <f>G734</f>
        <v>0</v>
      </c>
      <c r="J223" s="1952">
        <f t="shared" si="2"/>
        <v>0</v>
      </c>
      <c r="M223" s="1349"/>
    </row>
    <row r="224" spans="2:13" hidden="1" outlineLevel="1">
      <c r="B224" s="1918" t="s">
        <v>636</v>
      </c>
      <c r="C224" s="1386" t="s">
        <v>1369</v>
      </c>
      <c r="D224" s="1924" t="s">
        <v>226</v>
      </c>
      <c r="E224" s="1361"/>
      <c r="F224" s="1361"/>
      <c r="G224" s="1385"/>
      <c r="H224" s="1385"/>
      <c r="I224" s="1385"/>
      <c r="J224" s="1952">
        <f t="shared" si="2"/>
        <v>0</v>
      </c>
      <c r="M224" s="1349"/>
    </row>
    <row r="225" spans="2:13" hidden="1" outlineLevel="1">
      <c r="B225" s="1918" t="s">
        <v>639</v>
      </c>
      <c r="C225" s="1386" t="s">
        <v>1370</v>
      </c>
      <c r="D225" s="1924" t="s">
        <v>226</v>
      </c>
      <c r="E225" s="1361"/>
      <c r="F225" s="1361"/>
      <c r="G225" s="1385"/>
      <c r="H225" s="1385"/>
      <c r="I225" s="1385"/>
      <c r="J225" s="1952">
        <f t="shared" si="2"/>
        <v>0</v>
      </c>
      <c r="M225" s="1349"/>
    </row>
    <row r="226" spans="2:13" hidden="1" outlineLevel="1">
      <c r="B226" s="1918" t="s">
        <v>642</v>
      </c>
      <c r="C226" s="1386" t="s">
        <v>1371</v>
      </c>
      <c r="D226" s="1924" t="s">
        <v>226</v>
      </c>
      <c r="E226" s="1361"/>
      <c r="F226" s="1361"/>
      <c r="G226" s="1385"/>
      <c r="H226" s="1385"/>
      <c r="I226" s="1385"/>
      <c r="J226" s="1952">
        <f>IFERROR(I227-H227,"-")</f>
        <v>0</v>
      </c>
      <c r="M226" s="1349"/>
    </row>
    <row r="227" spans="2:13" hidden="1" outlineLevel="1">
      <c r="B227" s="1918" t="s">
        <v>645</v>
      </c>
      <c r="C227" s="1386" t="s">
        <v>1016</v>
      </c>
      <c r="D227" s="1924" t="s">
        <v>226</v>
      </c>
      <c r="E227" s="1361"/>
      <c r="F227" s="1361"/>
      <c r="G227" s="1385"/>
      <c r="H227" s="1385"/>
      <c r="I227" s="1385"/>
      <c r="J227" s="1952" t="str">
        <f>IFERROR(#REF!-#REF!,"-")</f>
        <v>-</v>
      </c>
      <c r="M227" s="1349"/>
    </row>
    <row r="228" spans="2:13" ht="22.5" hidden="1" outlineLevel="1">
      <c r="B228" s="1918" t="s">
        <v>1372</v>
      </c>
      <c r="C228" s="1386" t="s">
        <v>1373</v>
      </c>
      <c r="D228" s="1924" t="s">
        <v>226</v>
      </c>
      <c r="E228" s="1361"/>
      <c r="F228" s="1361"/>
      <c r="G228" s="1385"/>
      <c r="H228" s="1385"/>
      <c r="I228" s="1385"/>
      <c r="J228" s="1952">
        <f>IFERROR(I228-H228,"-")</f>
        <v>0</v>
      </c>
      <c r="M228" s="1349"/>
    </row>
    <row r="229" spans="2:13" collapsed="1">
      <c r="M229" s="1349"/>
    </row>
    <row r="230" spans="2:13" ht="18">
      <c r="B230" s="1485" t="s">
        <v>1896</v>
      </c>
      <c r="J230" s="1909" t="s">
        <v>1329</v>
      </c>
      <c r="M230" s="1349"/>
    </row>
    <row r="231" spans="2:13">
      <c r="B231" s="2123" t="s">
        <v>12</v>
      </c>
      <c r="C231" s="2123" t="s">
        <v>954</v>
      </c>
      <c r="D231" s="2123" t="s">
        <v>262</v>
      </c>
      <c r="E231" s="1900" t="str">
        <f>CONCATENATE(F4-3," год")</f>
        <v>2021 год</v>
      </c>
      <c r="F231" s="1900" t="str">
        <f>CONCATENATE(F4-2," год")</f>
        <v>2022 год</v>
      </c>
      <c r="G231" s="1900" t="str">
        <f>CONCATENATE(F4-1," год")</f>
        <v>2023 год</v>
      </c>
      <c r="H231" s="2127" t="str">
        <f>CONCATENATE(F4," год")</f>
        <v>2024 год</v>
      </c>
      <c r="I231" s="2128"/>
      <c r="J231" s="2129"/>
      <c r="M231" s="1349"/>
    </row>
    <row r="232" spans="2:13" ht="22.5">
      <c r="B232" s="2123"/>
      <c r="C232" s="2123"/>
      <c r="D232" s="2123"/>
      <c r="E232" s="1918" t="s">
        <v>1287</v>
      </c>
      <c r="F232" s="1918" t="s">
        <v>1287</v>
      </c>
      <c r="G232" s="1918" t="s">
        <v>1288</v>
      </c>
      <c r="H232" s="1918" t="s">
        <v>1330</v>
      </c>
      <c r="I232" s="1918" t="s">
        <v>1290</v>
      </c>
      <c r="J232" s="1381" t="s">
        <v>263</v>
      </c>
      <c r="M232" s="1349"/>
    </row>
    <row r="233" spans="2:13">
      <c r="B233" s="1929">
        <v>1</v>
      </c>
      <c r="C233" s="1929">
        <v>2</v>
      </c>
      <c r="D233" s="1929">
        <v>3</v>
      </c>
      <c r="E233" s="1929">
        <v>4</v>
      </c>
      <c r="F233" s="1929">
        <v>4</v>
      </c>
      <c r="G233" s="1929">
        <v>5</v>
      </c>
      <c r="H233" s="1929">
        <v>6</v>
      </c>
      <c r="I233" s="1929">
        <v>7</v>
      </c>
      <c r="J233" s="1367" t="s">
        <v>1331</v>
      </c>
      <c r="M233" s="1349"/>
    </row>
    <row r="234" spans="2:13">
      <c r="B234" s="1918" t="s">
        <v>234</v>
      </c>
      <c r="C234" s="1407" t="s">
        <v>1332</v>
      </c>
      <c r="D234" s="1918" t="s">
        <v>226</v>
      </c>
      <c r="E234" s="1950">
        <f>SUM(E235,E239)</f>
        <v>0</v>
      </c>
      <c r="F234" s="1950">
        <f>SUM(F235,F239)</f>
        <v>0</v>
      </c>
      <c r="G234" s="1950">
        <f>SUM(G235,G239)</f>
        <v>0</v>
      </c>
      <c r="H234" s="1950">
        <f>SUM(H235,H239)</f>
        <v>0</v>
      </c>
      <c r="I234" s="1950">
        <f>SUM(I235,I239)</f>
        <v>0</v>
      </c>
      <c r="J234" s="1964">
        <f t="shared" ref="J234:J256" si="4">IFERROR(I234-H234,"-")</f>
        <v>0</v>
      </c>
      <c r="M234" s="1349"/>
    </row>
    <row r="235" spans="2:13" ht="22.5">
      <c r="B235" s="1918" t="s">
        <v>267</v>
      </c>
      <c r="C235" s="1407" t="s">
        <v>1333</v>
      </c>
      <c r="D235" s="1918" t="s">
        <v>226</v>
      </c>
      <c r="E235" s="1950">
        <f>IFERROR(E236*E238,"-")</f>
        <v>0</v>
      </c>
      <c r="F235" s="1950">
        <f>IFERROR(F236*F238,"-")</f>
        <v>0</v>
      </c>
      <c r="G235" s="1950">
        <f>IFERROR(G236*G238,"-")</f>
        <v>0</v>
      </c>
      <c r="H235" s="1950">
        <f>IFERROR(H236*H238,"-")</f>
        <v>0</v>
      </c>
      <c r="I235" s="1950">
        <f>IFERROR(I236*I238,"-")</f>
        <v>0</v>
      </c>
      <c r="J235" s="1952">
        <f t="shared" si="4"/>
        <v>0</v>
      </c>
      <c r="M235" s="1349"/>
    </row>
    <row r="236" spans="2:13">
      <c r="B236" s="2055" t="s">
        <v>1334</v>
      </c>
      <c r="C236" s="2130" t="s">
        <v>1335</v>
      </c>
      <c r="D236" s="1919" t="s">
        <v>249</v>
      </c>
      <c r="E236" s="1953">
        <f>E277</f>
        <v>0</v>
      </c>
      <c r="F236" s="1953">
        <f t="shared" ref="F236:I238" si="5">G277</f>
        <v>0</v>
      </c>
      <c r="G236" s="1953">
        <f t="shared" si="5"/>
        <v>0</v>
      </c>
      <c r="H236" s="1953">
        <f t="shared" si="5"/>
        <v>0</v>
      </c>
      <c r="I236" s="1953">
        <f t="shared" si="5"/>
        <v>0</v>
      </c>
      <c r="J236" s="1948">
        <f t="shared" si="4"/>
        <v>0</v>
      </c>
      <c r="M236" s="1349"/>
    </row>
    <row r="237" spans="2:13">
      <c r="B237" s="2055"/>
      <c r="C237" s="2130"/>
      <c r="D237" s="1919" t="s">
        <v>268</v>
      </c>
      <c r="E237" s="1961" t="str">
        <f>E278</f>
        <v>х</v>
      </c>
      <c r="F237" s="1961" t="str">
        <f t="shared" si="5"/>
        <v>х</v>
      </c>
      <c r="G237" s="1961" t="str">
        <f t="shared" si="5"/>
        <v>х</v>
      </c>
      <c r="H237" s="1961" t="str">
        <f t="shared" si="5"/>
        <v>х</v>
      </c>
      <c r="I237" s="1961" t="str">
        <f t="shared" si="5"/>
        <v>х</v>
      </c>
      <c r="J237" s="1948" t="str">
        <f t="shared" si="4"/>
        <v>-</v>
      </c>
      <c r="M237" s="1349"/>
    </row>
    <row r="238" spans="2:13">
      <c r="B238" s="1919" t="s">
        <v>1336</v>
      </c>
      <c r="C238" s="1920" t="s">
        <v>1337</v>
      </c>
      <c r="D238" s="1919" t="s">
        <v>285</v>
      </c>
      <c r="E238" s="1953">
        <f>E279</f>
        <v>0</v>
      </c>
      <c r="F238" s="1953">
        <f t="shared" si="5"/>
        <v>0</v>
      </c>
      <c r="G238" s="1953">
        <f t="shared" si="5"/>
        <v>0</v>
      </c>
      <c r="H238" s="1953">
        <f t="shared" si="5"/>
        <v>0</v>
      </c>
      <c r="I238" s="1953">
        <f t="shared" si="5"/>
        <v>0</v>
      </c>
      <c r="J238" s="1948">
        <f t="shared" si="4"/>
        <v>0</v>
      </c>
      <c r="M238" s="1349"/>
    </row>
    <row r="239" spans="2:13" ht="22.5">
      <c r="B239" s="1918" t="s">
        <v>269</v>
      </c>
      <c r="C239" s="1407" t="s">
        <v>1338</v>
      </c>
      <c r="D239" s="1918" t="s">
        <v>226</v>
      </c>
      <c r="E239" s="1950">
        <f>SUM(E240,E241,E256:E260)</f>
        <v>0</v>
      </c>
      <c r="F239" s="1950">
        <f>SUM(F240,F241,F256:F260)</f>
        <v>0</v>
      </c>
      <c r="G239" s="1950">
        <f>SUM(G240,G241,G256:G260)</f>
        <v>0</v>
      </c>
      <c r="H239" s="1950">
        <f>SUM(H240,H241,H256:H260)</f>
        <v>0</v>
      </c>
      <c r="I239" s="1950">
        <f>SUM(I240,I241,I256:I260)</f>
        <v>0</v>
      </c>
      <c r="J239" s="1952">
        <f t="shared" si="4"/>
        <v>0</v>
      </c>
      <c r="M239" s="1349"/>
    </row>
    <row r="240" spans="2:13">
      <c r="B240" s="1918" t="s">
        <v>1339</v>
      </c>
      <c r="C240" s="1407" t="s">
        <v>1008</v>
      </c>
      <c r="D240" s="1918" t="s">
        <v>226</v>
      </c>
      <c r="E240" s="1382"/>
      <c r="F240" s="1382"/>
      <c r="G240" s="1950" t="str">
        <f>G338</f>
        <v>х</v>
      </c>
      <c r="H240" s="1950" t="str">
        <f>H320</f>
        <v>х</v>
      </c>
      <c r="I240" s="1950" t="str">
        <f>H338</f>
        <v>х</v>
      </c>
      <c r="J240" s="1952" t="str">
        <f t="shared" si="4"/>
        <v>-</v>
      </c>
      <c r="M240" s="1349"/>
    </row>
    <row r="241" spans="2:13">
      <c r="B241" s="1918" t="s">
        <v>676</v>
      </c>
      <c r="C241" s="1407" t="s">
        <v>1340</v>
      </c>
      <c r="D241" s="1918" t="s">
        <v>226</v>
      </c>
      <c r="E241" s="1950">
        <f>SUM(E242:E254)-E252</f>
        <v>0</v>
      </c>
      <c r="F241" s="1950">
        <f>SUM(F242:F254)-F252</f>
        <v>0</v>
      </c>
      <c r="G241" s="1950">
        <f>SUM(G242:G254)-G252</f>
        <v>0</v>
      </c>
      <c r="H241" s="1950">
        <f>SUM(H242:H254)-H252</f>
        <v>0</v>
      </c>
      <c r="I241" s="1950">
        <f>SUM(I242:I254)-I252</f>
        <v>0</v>
      </c>
      <c r="J241" s="1952">
        <f t="shared" si="4"/>
        <v>0</v>
      </c>
      <c r="M241" s="1349"/>
    </row>
    <row r="242" spans="2:13">
      <c r="B242" s="1919" t="s">
        <v>1341</v>
      </c>
      <c r="C242" s="1920" t="s">
        <v>1342</v>
      </c>
      <c r="D242" s="1919" t="s">
        <v>226</v>
      </c>
      <c r="E242" s="1378"/>
      <c r="F242" s="1953">
        <f>J365</f>
        <v>0</v>
      </c>
      <c r="G242" s="1953">
        <f>'11 (ФСК)'!H8</f>
        <v>0</v>
      </c>
      <c r="H242" s="1953">
        <f>G382</f>
        <v>0</v>
      </c>
      <c r="I242" s="1953">
        <f>J382</f>
        <v>0</v>
      </c>
      <c r="J242" s="1948">
        <f t="shared" si="4"/>
        <v>0</v>
      </c>
      <c r="M242" s="1349"/>
    </row>
    <row r="243" spans="2:13">
      <c r="B243" s="1919" t="s">
        <v>1343</v>
      </c>
      <c r="C243" s="1383" t="s">
        <v>359</v>
      </c>
      <c r="D243" s="1917" t="s">
        <v>226</v>
      </c>
      <c r="E243" s="1953">
        <f>D413</f>
        <v>0</v>
      </c>
      <c r="F243" s="1953">
        <f>F413</f>
        <v>0</v>
      </c>
      <c r="G243" s="1953">
        <f>H413</f>
        <v>0</v>
      </c>
      <c r="H243" s="1953">
        <f>I413</f>
        <v>0</v>
      </c>
      <c r="I243" s="1953">
        <f>J413</f>
        <v>0</v>
      </c>
      <c r="J243" s="1948">
        <f t="shared" si="4"/>
        <v>0</v>
      </c>
      <c r="M243" s="1349"/>
    </row>
    <row r="244" spans="2:13">
      <c r="B244" s="1919" t="s">
        <v>1344</v>
      </c>
      <c r="C244" s="1383" t="s">
        <v>1345</v>
      </c>
      <c r="D244" s="1917" t="s">
        <v>226</v>
      </c>
      <c r="E244" s="1951">
        <f>D441</f>
        <v>0</v>
      </c>
      <c r="F244" s="1951">
        <f>F441</f>
        <v>0</v>
      </c>
      <c r="G244" s="1951">
        <f>H441</f>
        <v>0</v>
      </c>
      <c r="H244" s="1951">
        <f>I441</f>
        <v>0</v>
      </c>
      <c r="I244" s="1951">
        <f>J441</f>
        <v>0</v>
      </c>
      <c r="J244" s="1948">
        <f t="shared" si="4"/>
        <v>0</v>
      </c>
      <c r="M244" s="1349"/>
    </row>
    <row r="245" spans="2:13">
      <c r="B245" s="1919" t="s">
        <v>1346</v>
      </c>
      <c r="C245" s="1383" t="s">
        <v>1347</v>
      </c>
      <c r="D245" s="1917" t="s">
        <v>226</v>
      </c>
      <c r="E245" s="1951">
        <f>E463</f>
        <v>0</v>
      </c>
      <c r="F245" s="1951">
        <f>G463</f>
        <v>0</v>
      </c>
      <c r="G245" s="1953">
        <f>H463</f>
        <v>0</v>
      </c>
      <c r="H245" s="1953">
        <f>I463</f>
        <v>0</v>
      </c>
      <c r="I245" s="1953">
        <f>J463</f>
        <v>0</v>
      </c>
      <c r="J245" s="1948">
        <f t="shared" si="4"/>
        <v>0</v>
      </c>
      <c r="M245" s="1349"/>
    </row>
    <row r="246" spans="2:13">
      <c r="B246" s="1919" t="s">
        <v>1348</v>
      </c>
      <c r="C246" s="1383" t="s">
        <v>1349</v>
      </c>
      <c r="D246" s="1917" t="s">
        <v>226</v>
      </c>
      <c r="E246" s="1951">
        <f>D488</f>
        <v>0</v>
      </c>
      <c r="F246" s="1951">
        <f>F488</f>
        <v>0</v>
      </c>
      <c r="G246" s="1953">
        <f>H488</f>
        <v>0</v>
      </c>
      <c r="H246" s="1953">
        <f>I488</f>
        <v>0</v>
      </c>
      <c r="I246" s="1953">
        <f>J488</f>
        <v>0</v>
      </c>
      <c r="J246" s="1948">
        <f t="shared" si="4"/>
        <v>0</v>
      </c>
      <c r="M246" s="1349"/>
    </row>
    <row r="247" spans="2:13" ht="33.75">
      <c r="B247" s="1919" t="s">
        <v>1350</v>
      </c>
      <c r="C247" s="1920" t="s">
        <v>1351</v>
      </c>
      <c r="D247" s="1919" t="s">
        <v>226</v>
      </c>
      <c r="E247" s="1378"/>
      <c r="F247" s="1378"/>
      <c r="G247" s="1377"/>
      <c r="H247" s="1948">
        <f>D510</f>
        <v>0</v>
      </c>
      <c r="I247" s="1948">
        <f>E510</f>
        <v>0</v>
      </c>
      <c r="J247" s="1948">
        <f t="shared" si="4"/>
        <v>0</v>
      </c>
      <c r="M247" s="1349"/>
    </row>
    <row r="248" spans="2:13" ht="22.5">
      <c r="B248" s="1919" t="s">
        <v>1352</v>
      </c>
      <c r="C248" s="1920" t="s">
        <v>1353</v>
      </c>
      <c r="D248" s="1919" t="s">
        <v>226</v>
      </c>
      <c r="E248" s="1953">
        <f>D530</f>
        <v>0</v>
      </c>
      <c r="F248" s="1953">
        <f>F530</f>
        <v>0</v>
      </c>
      <c r="G248" s="1953">
        <f>H530</f>
        <v>0</v>
      </c>
      <c r="H248" s="1953">
        <f>I530</f>
        <v>0</v>
      </c>
      <c r="I248" s="1953">
        <f>J530</f>
        <v>0</v>
      </c>
      <c r="J248" s="1948">
        <f t="shared" si="4"/>
        <v>0</v>
      </c>
      <c r="M248" s="1349"/>
    </row>
    <row r="249" spans="2:13">
      <c r="B249" s="1919" t="s">
        <v>1354</v>
      </c>
      <c r="C249" s="1920" t="s">
        <v>1355</v>
      </c>
      <c r="D249" s="1919" t="s">
        <v>226</v>
      </c>
      <c r="E249" s="1953">
        <f>E560</f>
        <v>0</v>
      </c>
      <c r="F249" s="1953">
        <f>G560</f>
        <v>0</v>
      </c>
      <c r="G249" s="1953">
        <f>H560</f>
        <v>0</v>
      </c>
      <c r="H249" s="1953">
        <f>I560</f>
        <v>0</v>
      </c>
      <c r="I249" s="1953">
        <f>J560</f>
        <v>0</v>
      </c>
      <c r="J249" s="1948">
        <f t="shared" si="4"/>
        <v>0</v>
      </c>
      <c r="M249" s="1349"/>
    </row>
    <row r="250" spans="2:13">
      <c r="B250" s="1919" t="s">
        <v>1356</v>
      </c>
      <c r="C250" s="1920" t="s">
        <v>1357</v>
      </c>
      <c r="D250" s="1919" t="s">
        <v>226</v>
      </c>
      <c r="E250" s="1953">
        <f>D589</f>
        <v>0</v>
      </c>
      <c r="F250" s="1953">
        <f>F589</f>
        <v>0</v>
      </c>
      <c r="G250" s="1948">
        <f>H589</f>
        <v>0</v>
      </c>
      <c r="H250" s="1948">
        <f>I589</f>
        <v>0</v>
      </c>
      <c r="I250" s="1948">
        <f>J589</f>
        <v>0</v>
      </c>
      <c r="J250" s="1948">
        <f t="shared" si="4"/>
        <v>0</v>
      </c>
      <c r="M250" s="1349"/>
    </row>
    <row r="251" spans="2:13" ht="22.5">
      <c r="B251" s="1919" t="s">
        <v>1358</v>
      </c>
      <c r="C251" s="1920" t="s">
        <v>1359</v>
      </c>
      <c r="D251" s="1919" t="s">
        <v>226</v>
      </c>
      <c r="E251" s="1953">
        <f>D616</f>
        <v>0</v>
      </c>
      <c r="F251" s="1953">
        <f>F616</f>
        <v>0</v>
      </c>
      <c r="G251" s="1948">
        <f>H616</f>
        <v>0</v>
      </c>
      <c r="H251" s="1948">
        <f>I616</f>
        <v>0</v>
      </c>
      <c r="I251" s="1948">
        <f>J616</f>
        <v>0</v>
      </c>
      <c r="J251" s="1948">
        <f t="shared" si="4"/>
        <v>0</v>
      </c>
      <c r="M251" s="1349"/>
    </row>
    <row r="252" spans="2:13">
      <c r="B252" s="1919" t="s">
        <v>1360</v>
      </c>
      <c r="C252" s="1384" t="s">
        <v>1361</v>
      </c>
      <c r="D252" s="1919" t="s">
        <v>226</v>
      </c>
      <c r="E252" s="1953">
        <f>D618</f>
        <v>0</v>
      </c>
      <c r="F252" s="1953">
        <f>F618</f>
        <v>0</v>
      </c>
      <c r="G252" s="1948">
        <f>H618</f>
        <v>0</v>
      </c>
      <c r="H252" s="1948">
        <f>I618</f>
        <v>0</v>
      </c>
      <c r="I252" s="1948">
        <f>J618</f>
        <v>0</v>
      </c>
      <c r="J252" s="1948">
        <f t="shared" si="4"/>
        <v>0</v>
      </c>
      <c r="M252" s="1349"/>
    </row>
    <row r="253" spans="2:13">
      <c r="B253" s="1919" t="s">
        <v>1362</v>
      </c>
      <c r="C253" s="1920" t="s">
        <v>1363</v>
      </c>
      <c r="D253" s="1919" t="s">
        <v>226</v>
      </c>
      <c r="E253" s="1953">
        <f>D641</f>
        <v>0</v>
      </c>
      <c r="F253" s="1953">
        <f>F641</f>
        <v>0</v>
      </c>
      <c r="G253" s="1948">
        <f>H641</f>
        <v>0</v>
      </c>
      <c r="H253" s="1948">
        <f>I641</f>
        <v>0</v>
      </c>
      <c r="I253" s="1948">
        <f>J641</f>
        <v>0</v>
      </c>
      <c r="J253" s="1948">
        <f t="shared" si="4"/>
        <v>0</v>
      </c>
      <c r="M253" s="1349"/>
    </row>
    <row r="254" spans="2:13">
      <c r="B254" s="1919" t="s">
        <v>1364</v>
      </c>
      <c r="C254" s="1920" t="s">
        <v>1365</v>
      </c>
      <c r="D254" s="1919" t="s">
        <v>226</v>
      </c>
      <c r="E254" s="1953">
        <f>D664</f>
        <v>0</v>
      </c>
      <c r="F254" s="1953">
        <f>F664</f>
        <v>0</v>
      </c>
      <c r="G254" s="1948">
        <f>H664</f>
        <v>0</v>
      </c>
      <c r="H254" s="1948">
        <f>I664</f>
        <v>0</v>
      </c>
      <c r="I254" s="1948">
        <f>J664</f>
        <v>0</v>
      </c>
      <c r="J254" s="1948">
        <f t="shared" si="4"/>
        <v>0</v>
      </c>
      <c r="M254" s="1349"/>
    </row>
    <row r="255" spans="2:13">
      <c r="B255" s="1919" t="s">
        <v>1366</v>
      </c>
      <c r="C255" s="1384"/>
      <c r="D255" s="1919" t="s">
        <v>226</v>
      </c>
      <c r="E255" s="1378"/>
      <c r="F255" s="1378"/>
      <c r="G255" s="1377"/>
      <c r="H255" s="1377"/>
      <c r="I255" s="1377"/>
      <c r="J255" s="1948">
        <f t="shared" si="4"/>
        <v>0</v>
      </c>
      <c r="M255" s="1349"/>
    </row>
    <row r="256" spans="2:13">
      <c r="B256" s="1918" t="s">
        <v>270</v>
      </c>
      <c r="C256" s="1386" t="s">
        <v>1369</v>
      </c>
      <c r="D256" s="1924" t="s">
        <v>226</v>
      </c>
      <c r="E256" s="1361"/>
      <c r="F256" s="1361"/>
      <c r="G256" s="1385"/>
      <c r="H256" s="1385"/>
      <c r="I256" s="1385"/>
      <c r="J256" s="1952">
        <f t="shared" si="4"/>
        <v>0</v>
      </c>
      <c r="M256" s="1349"/>
    </row>
    <row r="257" spans="2:13">
      <c r="B257" s="1918" t="s">
        <v>286</v>
      </c>
      <c r="C257" s="1386" t="s">
        <v>1016</v>
      </c>
      <c r="D257" s="1924" t="s">
        <v>226</v>
      </c>
      <c r="E257" s="1361"/>
      <c r="F257" s="1361"/>
      <c r="G257" s="1385"/>
      <c r="H257" s="1385"/>
      <c r="I257" s="1385"/>
      <c r="J257" s="1952" t="str">
        <f>IFERROR(#REF!-#REF!,"-")</f>
        <v>-</v>
      </c>
      <c r="M257" s="1349"/>
    </row>
    <row r="258" spans="2:13" ht="22.5">
      <c r="B258" s="1918" t="s">
        <v>636</v>
      </c>
      <c r="C258" s="1386" t="s">
        <v>1373</v>
      </c>
      <c r="D258" s="1924" t="s">
        <v>226</v>
      </c>
      <c r="E258" s="1361"/>
      <c r="F258" s="1361"/>
      <c r="G258" s="1385"/>
      <c r="H258" s="1385"/>
      <c r="I258" s="1385"/>
      <c r="J258" s="1952">
        <f>IFERROR(I258-H258,"-")</f>
        <v>0</v>
      </c>
      <c r="M258" s="1349"/>
    </row>
    <row r="259" spans="2:13" ht="22.5">
      <c r="B259" s="1918" t="s">
        <v>639</v>
      </c>
      <c r="C259" s="1386" t="s">
        <v>1375</v>
      </c>
      <c r="D259" s="1924" t="s">
        <v>226</v>
      </c>
      <c r="E259" s="1361"/>
      <c r="F259" s="1361"/>
      <c r="G259" s="1361"/>
      <c r="H259" s="1361"/>
      <c r="I259" s="1361"/>
      <c r="J259" s="1952">
        <f>IFERROR(I259-H259,"-")</f>
        <v>0</v>
      </c>
      <c r="M259" s="1349"/>
    </row>
    <row r="260" spans="2:13" ht="22.5">
      <c r="B260" s="1918" t="s">
        <v>642</v>
      </c>
      <c r="C260" s="1386" t="s">
        <v>1377</v>
      </c>
      <c r="D260" s="1924" t="s">
        <v>226</v>
      </c>
      <c r="E260" s="1361"/>
      <c r="F260" s="1361"/>
      <c r="G260" s="1385"/>
      <c r="H260" s="1385"/>
      <c r="I260" s="1385"/>
      <c r="J260" s="1952">
        <f>IFERROR(I260-H260,"-")</f>
        <v>0</v>
      </c>
      <c r="M260" s="1349"/>
    </row>
    <row r="261" spans="2:13">
      <c r="M261" s="1349"/>
    </row>
    <row r="262" spans="2:13" ht="15.75" customHeight="1">
      <c r="B262" s="2025" t="str">
        <f>CONCATENATE("На ",F4," год «Организацией» заявлена НВВ (без учета затрат на оплату услуг ТСО) в размере ",H205," тыс. руб.")</f>
        <v>На 2024 год «Организацией» заявлена НВВ (без учета затрат на оплату услуг ТСО) в размере 0 тыс. руб.</v>
      </c>
      <c r="C262" s="2025"/>
      <c r="D262" s="2025"/>
      <c r="E262" s="2025"/>
      <c r="F262" s="2025"/>
      <c r="G262" s="2025"/>
      <c r="H262" s="2025"/>
      <c r="I262" s="2025"/>
      <c r="J262" s="2025"/>
      <c r="K262" s="2025"/>
      <c r="M262" s="1349"/>
    </row>
    <row r="263" spans="2:13" ht="15.75" customHeight="1">
      <c r="B263" s="2025" t="str">
        <f>CONCATENATE("Экономически обоснованная НВВ «Организации» (без учета затрат на оплату услуг ТСО) определена экспертами в размере ",I205," тыс. руб., в том числе: ")</f>
        <v xml:space="preserve">Экономически обоснованная НВВ «Организации» (без учета затрат на оплату услуг ТСО) определена экспертами в размере 0 тыс. руб., в том числе: </v>
      </c>
      <c r="C263" s="2025"/>
      <c r="D263" s="2025"/>
      <c r="E263" s="2025"/>
      <c r="F263" s="2025"/>
      <c r="G263" s="2025"/>
      <c r="H263" s="2025"/>
      <c r="I263" s="2025"/>
      <c r="J263" s="2025"/>
      <c r="K263" s="2025"/>
      <c r="M263" s="1349"/>
    </row>
    <row r="264" spans="2:13" ht="15.75" customHeight="1">
      <c r="B264" s="2025" t="str">
        <f>CONCATENATE("   - НВВ на оплату потерь - ",I206," тыс. руб.; ")</f>
        <v xml:space="preserve">   - НВВ на оплату потерь - 0 тыс. руб.; </v>
      </c>
      <c r="C264" s="2025"/>
      <c r="D264" s="2025"/>
      <c r="E264" s="2025"/>
      <c r="F264" s="2025"/>
      <c r="G264" s="2025"/>
      <c r="H264" s="2025"/>
      <c r="I264" s="2025"/>
      <c r="J264" s="2025"/>
      <c r="K264" s="2025"/>
      <c r="M264" s="1349"/>
    </row>
    <row r="265" spans="2:13" ht="15.75" customHeight="1">
      <c r="B265" s="2025" t="str">
        <f>CONCATENATE("   - НВВ на содержание - ",I210," тыс. руб.")</f>
        <v xml:space="preserve">   - НВВ на содержание - 0 тыс. руб.</v>
      </c>
      <c r="C265" s="2025"/>
      <c r="D265" s="2025"/>
      <c r="E265" s="2025"/>
      <c r="F265" s="2025"/>
      <c r="G265" s="2025"/>
      <c r="H265" s="2025"/>
      <c r="I265" s="2025"/>
      <c r="J265" s="2025"/>
      <c r="K265" s="2025"/>
      <c r="M265" s="1349"/>
    </row>
    <row r="266" spans="2:13" ht="35.25" customHeight="1">
      <c r="B266" s="2025" t="s">
        <v>1378</v>
      </c>
      <c r="C266" s="2025"/>
      <c r="D266" s="2025"/>
      <c r="E266" s="2025"/>
      <c r="F266" s="2025"/>
      <c r="G266" s="2025"/>
      <c r="H266" s="2025"/>
      <c r="I266" s="2025"/>
      <c r="J266" s="2025"/>
      <c r="K266" s="2025"/>
      <c r="M266" s="1349"/>
    </row>
    <row r="267" spans="2:13">
      <c r="M267" s="1349"/>
    </row>
    <row r="268" spans="2:13" ht="18" customHeight="1">
      <c r="B268" s="2014" t="s">
        <v>1379</v>
      </c>
      <c r="C268" s="2014"/>
      <c r="D268" s="2014"/>
      <c r="E268" s="2014"/>
      <c r="F268" s="2014"/>
      <c r="G268" s="2014"/>
      <c r="H268" s="2014"/>
      <c r="I268" s="2014"/>
      <c r="J268" s="2014"/>
      <c r="K268" s="2014"/>
      <c r="M268" s="1349"/>
    </row>
    <row r="269" spans="2:13" ht="18">
      <c r="B269" s="1889"/>
      <c r="C269" s="1889"/>
      <c r="D269" s="1889"/>
      <c r="E269" s="1889"/>
      <c r="F269" s="1889"/>
      <c r="G269" s="1889"/>
      <c r="H269" s="1889"/>
      <c r="I269" s="1889"/>
      <c r="J269" s="1889"/>
      <c r="K269" s="1889"/>
      <c r="M269" s="1349"/>
    </row>
    <row r="270" spans="2:13" ht="36" customHeight="1">
      <c r="B270" s="2003" t="s">
        <v>1912</v>
      </c>
      <c r="C270" s="2003"/>
      <c r="D270" s="2003"/>
      <c r="E270" s="2003"/>
      <c r="F270" s="2003"/>
      <c r="G270" s="2003"/>
      <c r="H270" s="2003"/>
      <c r="I270" s="2003"/>
      <c r="J270" s="2003"/>
      <c r="K270" s="2003"/>
      <c r="M270" s="1349"/>
    </row>
    <row r="271" spans="2:13" ht="18">
      <c r="B271" s="1889"/>
      <c r="C271" s="1889"/>
      <c r="D271" s="1889"/>
      <c r="E271" s="1889"/>
      <c r="F271" s="1889"/>
      <c r="G271" s="1889"/>
      <c r="H271" s="1889"/>
      <c r="I271" s="1889"/>
      <c r="J271" s="1909" t="s">
        <v>1380</v>
      </c>
      <c r="M271" s="1349"/>
    </row>
    <row r="272" spans="2:13" ht="30" customHeight="1">
      <c r="B272" s="2123" t="s">
        <v>12</v>
      </c>
      <c r="C272" s="2123" t="s">
        <v>954</v>
      </c>
      <c r="D272" s="2123" t="s">
        <v>262</v>
      </c>
      <c r="E272" s="1461" t="str">
        <f>CONCATENATE(F4-3," год")</f>
        <v>2021 год</v>
      </c>
      <c r="F272" s="2125" t="str">
        <f>CONCATENATE(F4-2," год")</f>
        <v>2022 год</v>
      </c>
      <c r="G272" s="2126"/>
      <c r="H272" s="1461" t="str">
        <f>CONCATENATE(F4-1," год")</f>
        <v>2023 год</v>
      </c>
      <c r="I272" s="2125" t="str">
        <f>CONCATENATE(F4," год")</f>
        <v>2024 год</v>
      </c>
      <c r="J272" s="2126"/>
      <c r="M272" s="1349"/>
    </row>
    <row r="273" spans="2:13" ht="30" customHeight="1">
      <c r="B273" s="2123"/>
      <c r="C273" s="2123"/>
      <c r="D273" s="2123"/>
      <c r="E273" s="1918" t="s">
        <v>1287</v>
      </c>
      <c r="F273" s="1918" t="s">
        <v>1330</v>
      </c>
      <c r="G273" s="1461" t="s">
        <v>1290</v>
      </c>
      <c r="H273" s="1918" t="s">
        <v>1288</v>
      </c>
      <c r="I273" s="1918" t="s">
        <v>1330</v>
      </c>
      <c r="J273" s="1461" t="s">
        <v>1290</v>
      </c>
      <c r="M273" s="1349"/>
    </row>
    <row r="274" spans="2:13" ht="30" customHeight="1">
      <c r="B274" s="1919">
        <v>1</v>
      </c>
      <c r="C274" s="1919">
        <v>2</v>
      </c>
      <c r="D274" s="1919">
        <v>3</v>
      </c>
      <c r="E274" s="1919" t="s">
        <v>820</v>
      </c>
      <c r="F274" s="1919" t="s">
        <v>822</v>
      </c>
      <c r="G274" s="1919" t="s">
        <v>824</v>
      </c>
      <c r="H274" s="1919" t="s">
        <v>832</v>
      </c>
      <c r="I274" s="1919" t="s">
        <v>833</v>
      </c>
      <c r="J274" s="1919" t="s">
        <v>407</v>
      </c>
      <c r="M274" s="1349"/>
    </row>
    <row r="275" spans="2:13" ht="22.5">
      <c r="B275" s="1923"/>
      <c r="C275" s="1407" t="s">
        <v>1383</v>
      </c>
      <c r="D275" s="1918" t="s">
        <v>226</v>
      </c>
      <c r="E275" s="1954">
        <f t="shared" ref="E275:J275" si="6">E277*E279</f>
        <v>0</v>
      </c>
      <c r="F275" s="1954">
        <f t="shared" si="6"/>
        <v>0</v>
      </c>
      <c r="G275" s="1954">
        <f t="shared" si="6"/>
        <v>0</v>
      </c>
      <c r="H275" s="1954">
        <f t="shared" si="6"/>
        <v>0</v>
      </c>
      <c r="I275" s="1954">
        <f t="shared" si="6"/>
        <v>0</v>
      </c>
      <c r="J275" s="1954">
        <f t="shared" si="6"/>
        <v>0</v>
      </c>
      <c r="M275" s="1349"/>
    </row>
    <row r="276" spans="2:13">
      <c r="B276" s="1921"/>
      <c r="C276" s="1922" t="s">
        <v>1389</v>
      </c>
      <c r="D276" s="1919" t="s">
        <v>249</v>
      </c>
      <c r="E276" s="1953">
        <f>'40 Потери ээ'!G9</f>
        <v>0</v>
      </c>
      <c r="F276" s="1953">
        <f>'40 Потери ээ'!J9</f>
        <v>0</v>
      </c>
      <c r="G276" s="1953">
        <f>'40 Потери ээ'!M9</f>
        <v>0</v>
      </c>
      <c r="H276" s="1953">
        <f>'40 Потери ээ'!Q9</f>
        <v>0</v>
      </c>
      <c r="I276" s="1953">
        <f>'40 Потери ээ'!T9</f>
        <v>0</v>
      </c>
      <c r="J276" s="1953">
        <f>'40 Потери ээ'!W9</f>
        <v>0</v>
      </c>
      <c r="M276" s="1349"/>
    </row>
    <row r="277" spans="2:13">
      <c r="B277" s="2131"/>
      <c r="C277" s="2132" t="s">
        <v>1384</v>
      </c>
      <c r="D277" s="1919" t="s">
        <v>249</v>
      </c>
      <c r="E277" s="1953">
        <f>'40 Потери ээ'!G10</f>
        <v>0</v>
      </c>
      <c r="F277" s="1953">
        <f>'40 Потери ээ'!J10</f>
        <v>0</v>
      </c>
      <c r="G277" s="1953">
        <f>'40 Потери ээ'!M10</f>
        <v>0</v>
      </c>
      <c r="H277" s="1953">
        <f>'40 Потери ээ'!Q10</f>
        <v>0</v>
      </c>
      <c r="I277" s="1953">
        <f>'40 Потери ээ'!T10</f>
        <v>0</v>
      </c>
      <c r="J277" s="1953">
        <f>'40 Потери ээ'!W10</f>
        <v>0</v>
      </c>
      <c r="M277" s="1349"/>
    </row>
    <row r="278" spans="2:13">
      <c r="B278" s="2131"/>
      <c r="C278" s="2132"/>
      <c r="D278" s="1919" t="s">
        <v>268</v>
      </c>
      <c r="E278" s="1963" t="str">
        <f>'40 Потери ээ'!G11</f>
        <v>х</v>
      </c>
      <c r="F278" s="1963" t="str">
        <f>'40 Потери ээ'!J11</f>
        <v>х</v>
      </c>
      <c r="G278" s="1963" t="str">
        <f>'40 Потери ээ'!M11</f>
        <v>х</v>
      </c>
      <c r="H278" s="1963" t="str">
        <f>'40 Потери ээ'!Q11</f>
        <v>х</v>
      </c>
      <c r="I278" s="1963" t="str">
        <f>'40 Потери ээ'!T11</f>
        <v>х</v>
      </c>
      <c r="J278" s="1963" t="str">
        <f>'40 Потери ээ'!W11</f>
        <v>х</v>
      </c>
      <c r="M278" s="1349"/>
    </row>
    <row r="279" spans="2:13">
      <c r="B279" s="1921"/>
      <c r="C279" s="1922" t="s">
        <v>1295</v>
      </c>
      <c r="D279" s="1919" t="s">
        <v>285</v>
      </c>
      <c r="E279" s="1958">
        <f>'40 Потери ээ'!G13</f>
        <v>0</v>
      </c>
      <c r="F279" s="1958">
        <f>'40 Потери ээ'!J13</f>
        <v>0</v>
      </c>
      <c r="G279" s="1958">
        <f>'40 Потери ээ'!M13</f>
        <v>0</v>
      </c>
      <c r="H279" s="1958">
        <f>'40 Потери ээ'!Q13</f>
        <v>0</v>
      </c>
      <c r="I279" s="1958">
        <f>'40 Потери ээ'!T13</f>
        <v>0</v>
      </c>
      <c r="J279" s="1958">
        <f>'40 Потери ээ'!W13</f>
        <v>0</v>
      </c>
      <c r="M279" s="1349"/>
    </row>
    <row r="280" spans="2:13">
      <c r="B280" s="1389"/>
      <c r="C280" s="1390"/>
      <c r="D280" s="1391"/>
      <c r="E280" s="1392"/>
      <c r="F280" s="1392"/>
      <c r="G280" s="1392"/>
      <c r="H280" s="1392"/>
      <c r="I280" s="1392"/>
      <c r="J280" s="1392"/>
      <c r="K280" s="1392"/>
      <c r="M280" s="1349"/>
    </row>
    <row r="281" spans="2:13">
      <c r="M281" s="1349"/>
    </row>
    <row r="282" spans="2:13" ht="46.5" customHeight="1">
      <c r="B282" s="2025" t="s">
        <v>1391</v>
      </c>
      <c r="C282" s="2025"/>
      <c r="D282" s="2025"/>
      <c r="E282" s="2025"/>
      <c r="F282" s="2025"/>
      <c r="G282" s="2025"/>
      <c r="H282" s="2025"/>
      <c r="I282" s="2025"/>
      <c r="J282" s="2025"/>
      <c r="K282" s="2025"/>
      <c r="M282" s="1349"/>
    </row>
    <row r="283" spans="2:13" ht="46.5" customHeight="1">
      <c r="B283" s="2025" t="s">
        <v>1392</v>
      </c>
      <c r="C283" s="2025"/>
      <c r="D283" s="2025"/>
      <c r="E283" s="2025"/>
      <c r="F283" s="2025"/>
      <c r="G283" s="2025"/>
      <c r="H283" s="2025"/>
      <c r="I283" s="2025"/>
      <c r="J283" s="2025"/>
      <c r="K283" s="2025"/>
      <c r="M283" s="1349"/>
    </row>
    <row r="284" spans="2:13" ht="39.75" customHeight="1">
      <c r="B284" s="2025" t="str">
        <f>CONCATENATE("На основании чего величина технологического расхода (потерь) электрической энергии на ",F4," год определена «Регулятором» исходя из прогнозируемого отпуска электрической энергии в сеть и уровня потерь электрической энергии, установленного на первый год долгосрочного периода регулирования.")</f>
        <v>На основании чего величина технологического расхода (потерь) электрической энергии на 2024 год определена «Регулятором» исходя из прогнозируемого отпуска электрической энергии в сеть и уровня потерь электрической энергии, установленного на первый год долгосрочного периода регулирования.</v>
      </c>
      <c r="C284" s="2025"/>
      <c r="D284" s="2025"/>
      <c r="E284" s="2025"/>
      <c r="F284" s="2025"/>
      <c r="G284" s="2025"/>
      <c r="H284" s="2025"/>
      <c r="I284" s="2025"/>
      <c r="J284" s="2025"/>
      <c r="K284" s="2025"/>
      <c r="M284" s="1349"/>
    </row>
    <row r="285" spans="2:13" ht="20.25" customHeight="1">
      <c r="B285" s="2025" t="s">
        <v>1393</v>
      </c>
      <c r="C285" s="2025"/>
      <c r="D285" s="2025"/>
      <c r="E285" s="2025"/>
      <c r="F285" s="2025"/>
      <c r="G285" s="2025"/>
      <c r="H285" s="2025"/>
      <c r="I285" s="2025"/>
      <c r="J285" s="2025"/>
      <c r="K285" s="2025"/>
      <c r="M285" s="1349"/>
    </row>
    <row r="286" spans="2:13" ht="35.25" customHeight="1">
      <c r="B286" s="2025" t="str">
        <f>CONCATENATE("Величина технологического расхода (потерь) электрической энергии на ",F4," год определена в размере ",J277," млн. кВтч. Корректировка предложения «Организации» составила ",J277-I277," млн. кВтч на основании ___.")</f>
        <v>Величина технологического расхода (потерь) электрической энергии на 2024 год определена в размере 0 млн. кВтч. Корректировка предложения «Организации» составила 0 млн. кВтч на основании ___.</v>
      </c>
      <c r="C286" s="2025"/>
      <c r="D286" s="2025"/>
      <c r="E286" s="2025"/>
      <c r="F286" s="2025"/>
      <c r="G286" s="2025"/>
      <c r="H286" s="2025"/>
      <c r="I286" s="2025"/>
      <c r="J286" s="2025"/>
      <c r="K286" s="2025"/>
      <c r="M286" s="1349"/>
    </row>
    <row r="287" spans="2:13" ht="141" customHeight="1">
      <c r="B287" s="2025" t="s">
        <v>1394</v>
      </c>
      <c r="C287" s="2025"/>
      <c r="D287" s="2025"/>
      <c r="E287" s="2025"/>
      <c r="F287" s="2025"/>
      <c r="G287" s="2025"/>
      <c r="H287" s="2025"/>
      <c r="I287" s="2025"/>
      <c r="J287" s="2025"/>
      <c r="K287" s="2025"/>
      <c r="M287" s="1349"/>
    </row>
    <row r="288" spans="2:13" ht="15.75" customHeight="1">
      <c r="B288" s="2025" t="str">
        <f>CONCATENATE("При прогнозировании цены покупки потерь электрической энергии на ",F4," год «Регулятор» руководствовался:")</f>
        <v>При прогнозировании цены покупки потерь электрической энергии на 2024 год «Регулятор» руководствовался:</v>
      </c>
      <c r="C288" s="2025"/>
      <c r="D288" s="2025"/>
      <c r="E288" s="2025"/>
      <c r="F288" s="2025"/>
      <c r="G288" s="2025"/>
      <c r="H288" s="2025"/>
      <c r="I288" s="2025"/>
      <c r="J288" s="2025"/>
      <c r="K288" s="2025"/>
      <c r="M288" s="1349"/>
    </row>
    <row r="289" spans="2:13">
      <c r="B289" s="2026"/>
      <c r="C289" s="2026"/>
      <c r="D289" s="2026"/>
      <c r="E289" s="2026"/>
      <c r="F289" s="2026"/>
      <c r="G289" s="2026"/>
      <c r="H289" s="2026"/>
      <c r="I289" s="2026"/>
      <c r="J289" s="2026"/>
      <c r="K289" s="2026"/>
      <c r="M289" s="2044" t="s">
        <v>1395</v>
      </c>
    </row>
    <row r="290" spans="2:13">
      <c r="B290" s="2026"/>
      <c r="C290" s="2026"/>
      <c r="D290" s="2026"/>
      <c r="E290" s="2026"/>
      <c r="F290" s="2026"/>
      <c r="G290" s="2026"/>
      <c r="H290" s="2026"/>
      <c r="I290" s="2026"/>
      <c r="J290" s="2026"/>
      <c r="K290" s="2026"/>
      <c r="M290" s="2045"/>
    </row>
    <row r="291" spans="2:13">
      <c r="B291" s="2026"/>
      <c r="C291" s="2026"/>
      <c r="D291" s="2026"/>
      <c r="E291" s="2026"/>
      <c r="F291" s="2026"/>
      <c r="G291" s="2026"/>
      <c r="H291" s="2026"/>
      <c r="I291" s="2026"/>
      <c r="J291" s="2026"/>
      <c r="K291" s="2026"/>
      <c r="M291" s="2046"/>
    </row>
    <row r="292" spans="2:13" ht="15.75" customHeight="1">
      <c r="B292" s="2025" t="str">
        <f>CONCATENATE("Корректировка предложения «Организации» на ",F4," год составила ",J275-I275,"   тыс. руб.")</f>
        <v>Корректировка предложения «Организации» на 2024 год составила 0   тыс. руб.</v>
      </c>
      <c r="C292" s="2025"/>
      <c r="D292" s="2025"/>
      <c r="E292" s="2025"/>
      <c r="F292" s="2025"/>
      <c r="G292" s="2025"/>
      <c r="H292" s="2025"/>
      <c r="I292" s="2025"/>
      <c r="J292" s="2025"/>
      <c r="K292" s="2025"/>
      <c r="M292" s="1349"/>
    </row>
    <row r="293" spans="2:13">
      <c r="M293" s="1349"/>
    </row>
    <row r="294" spans="2:13" ht="18" customHeight="1">
      <c r="B294" s="2014" t="s">
        <v>1396</v>
      </c>
      <c r="C294" s="2014"/>
      <c r="D294" s="2014"/>
      <c r="E294" s="2014"/>
      <c r="F294" s="2014"/>
      <c r="G294" s="2014"/>
      <c r="H294" s="2014"/>
      <c r="I294" s="2014"/>
      <c r="J294" s="2014"/>
      <c r="K294" s="2014"/>
      <c r="M294" s="1349"/>
    </row>
    <row r="295" spans="2:13" ht="15.75" customHeight="1">
      <c r="B295" s="2015" t="s">
        <v>1397</v>
      </c>
      <c r="C295" s="2015"/>
      <c r="D295" s="2015"/>
      <c r="E295" s="2015"/>
      <c r="F295" s="2015"/>
      <c r="G295" s="2015"/>
      <c r="H295" s="2015"/>
      <c r="I295" s="2015"/>
      <c r="J295" s="2015"/>
      <c r="K295" s="2015"/>
      <c r="M295" s="1349"/>
    </row>
    <row r="296" spans="2:13" ht="15.75" customHeight="1">
      <c r="B296" s="2025" t="str">
        <f>CONCATENATE("Уровень операционных (подконтрольных) расходов на ",F4," год определен экспертами исходя из следующих параметров тарифного регулирования:")</f>
        <v>Уровень операционных (подконтрольных) расходов на 2024 год определен экспертами исходя из следующих параметров тарифного регулирования:</v>
      </c>
      <c r="C296" s="2025"/>
      <c r="D296" s="2025"/>
      <c r="E296" s="2025"/>
      <c r="F296" s="2025"/>
      <c r="G296" s="2025"/>
      <c r="H296" s="2025"/>
      <c r="I296" s="2025"/>
      <c r="J296" s="2025"/>
      <c r="K296" s="2025"/>
      <c r="M296" s="1349"/>
    </row>
    <row r="297" spans="2:13" ht="15.75" customHeight="1">
      <c r="B297" s="2025" t="str">
        <f>CONCATENATE("1. Базовый уровень операционных (подконтрольных) расходов «Организации» на долгосрочный период регулирования, установленный «Регулятором» в размере ",E183*1000," тыс. руб.;")</f>
        <v>1. Базовый уровень операционных (подконтрольных) расходов «Организации» на долгосрочный период регулирования, установленный «Регулятором» в размере 0 тыс. руб.;</v>
      </c>
      <c r="C297" s="2025"/>
      <c r="D297" s="2025"/>
      <c r="E297" s="2025"/>
      <c r="F297" s="2025"/>
      <c r="G297" s="2025"/>
      <c r="H297" s="2025"/>
      <c r="I297" s="2025"/>
      <c r="J297" s="2025"/>
      <c r="K297" s="2025"/>
      <c r="M297" s="1349"/>
    </row>
    <row r="298" spans="2:13" ht="15.75" customHeight="1">
      <c r="B298" s="2025" t="str">
        <f>CONCATENATE("2. Индекс эффективности операционных (подконтрольных) расходов «Организации» установленный «Регулятором» в размере ",E184*100," %;")</f>
        <v>2. Индекс эффективности операционных (подконтрольных) расходов «Организации» установленный «Регулятором» в размере 0 %;</v>
      </c>
      <c r="C298" s="2025"/>
      <c r="D298" s="2025"/>
      <c r="E298" s="2025"/>
      <c r="F298" s="2025"/>
      <c r="G298" s="2025"/>
      <c r="H298" s="2025"/>
      <c r="I298" s="2025"/>
      <c r="J298" s="2025"/>
      <c r="K298" s="2025"/>
      <c r="M298" s="1349"/>
    </row>
    <row r="299" spans="2:13" ht="15.75" customHeight="1">
      <c r="B299" s="2025" t="s">
        <v>1398</v>
      </c>
      <c r="C299" s="2025"/>
      <c r="D299" s="2025"/>
      <c r="E299" s="2025"/>
      <c r="F299" s="2025"/>
      <c r="G299" s="2025"/>
      <c r="H299" s="2025"/>
      <c r="I299" s="2025"/>
      <c r="J299" s="2025"/>
      <c r="K299" s="2025"/>
      <c r="M299" s="1349"/>
    </row>
    <row r="300" spans="2:13" ht="36.75" customHeight="1">
      <c r="B300" s="2025" t="str">
        <f>CONCATENATE("4. ",'39 ИПЦ'!F13," в размере: ",'39 ИПЦ'!F12,"% – оценка на 2021 год, на 2022 – ",'39 ИПЦ'!G10,"% , на 2023 – ",'39 ИПЦ'!H10,"%;")</f>
        <v>4. Прогноз социально-экономического развития Российской Федерации, разработанным Минэкономразвития России и одобренным Правительством Российской Федерации, по состоянию на сентябрь 2021 года в размере: 0% – оценка на 2021 год, на 2022 – 0% , на 2023 – 0%;</v>
      </c>
      <c r="C300" s="2025"/>
      <c r="D300" s="2025"/>
      <c r="E300" s="2025"/>
      <c r="F300" s="2025"/>
      <c r="G300" s="2025"/>
      <c r="H300" s="2025"/>
      <c r="I300" s="2025"/>
      <c r="J300" s="2025"/>
      <c r="K300" s="2025"/>
      <c r="M300" s="1349"/>
    </row>
    <row r="301" spans="2:13" ht="15.75" customHeight="1">
      <c r="B301" s="2025" t="str">
        <f>CONCATENATE("5. Объем условных единиц по линиям электропередачи и оборудованию подстанций на ",F4," год, равный ",'5. уе свод'!L26," у.е. ")</f>
        <v xml:space="preserve">5. Объем условных единиц по линиям электропередачи и оборудованию подстанций на 2024 год, равный 0 у.е. </v>
      </c>
      <c r="C301" s="2025"/>
      <c r="D301" s="2025"/>
      <c r="E301" s="2025"/>
      <c r="F301" s="2025"/>
      <c r="G301" s="2025"/>
      <c r="H301" s="2025"/>
      <c r="I301" s="2025"/>
      <c r="J301" s="2025"/>
      <c r="K301" s="2025"/>
      <c r="M301" s="1349"/>
    </row>
    <row r="302" spans="2:13">
      <c r="B302" s="2025"/>
      <c r="C302" s="2025"/>
      <c r="D302" s="2025"/>
      <c r="E302" s="2025"/>
      <c r="F302" s="2025"/>
      <c r="G302" s="2025"/>
      <c r="H302" s="2025"/>
      <c r="I302" s="2025"/>
      <c r="J302" s="2025"/>
      <c r="K302" s="1893"/>
      <c r="M302" s="1349"/>
    </row>
    <row r="303" spans="2:13" ht="15.75" customHeight="1">
      <c r="B303" s="2016" t="s">
        <v>1399</v>
      </c>
      <c r="C303" s="2016"/>
      <c r="D303" s="2016"/>
      <c r="E303" s="2016"/>
      <c r="F303" s="2016"/>
      <c r="G303" s="2016"/>
      <c r="H303" s="2016"/>
      <c r="I303" s="2016"/>
      <c r="J303" s="1911"/>
      <c r="K303" s="1911"/>
      <c r="M303" s="1349"/>
    </row>
    <row r="304" spans="2:13">
      <c r="C304" s="1911"/>
      <c r="D304" s="1911"/>
      <c r="E304" s="1911"/>
      <c r="F304" s="1911"/>
      <c r="G304" s="1911"/>
      <c r="H304" s="1911"/>
      <c r="I304" s="1910" t="s">
        <v>1390</v>
      </c>
      <c r="J304" s="1911"/>
      <c r="K304" s="1911"/>
      <c r="M304" s="1349"/>
    </row>
    <row r="305" spans="2:13">
      <c r="B305" s="2133" t="s">
        <v>12</v>
      </c>
      <c r="C305" s="2135" t="s">
        <v>954</v>
      </c>
      <c r="D305" s="2135" t="s">
        <v>262</v>
      </c>
      <c r="E305" s="1380" t="str">
        <f>E163</f>
        <v>2019 год</v>
      </c>
      <c r="F305" s="1380" t="str">
        <f>F163</f>
        <v>2020 год</v>
      </c>
      <c r="G305" s="1380" t="str">
        <f>G163</f>
        <v>2021 год</v>
      </c>
      <c r="H305" s="1380" t="str">
        <f>H163</f>
        <v>2022 год</v>
      </c>
      <c r="I305" s="1380" t="str">
        <f>I163</f>
        <v>2023 год</v>
      </c>
      <c r="J305" s="1911"/>
      <c r="K305" s="1911"/>
      <c r="M305" s="1349"/>
    </row>
    <row r="306" spans="2:13">
      <c r="B306" s="2134"/>
      <c r="C306" s="2136"/>
      <c r="D306" s="2136"/>
      <c r="E306" s="2137" t="s">
        <v>1330</v>
      </c>
      <c r="F306" s="2138"/>
      <c r="G306" s="2138"/>
      <c r="H306" s="2138"/>
      <c r="I306" s="2139"/>
      <c r="J306" s="1911"/>
      <c r="K306" s="1911"/>
      <c r="M306" s="1349"/>
    </row>
    <row r="307" spans="2:13">
      <c r="B307" s="1929">
        <v>1</v>
      </c>
      <c r="C307" s="1929">
        <v>2</v>
      </c>
      <c r="D307" s="1929">
        <v>3</v>
      </c>
      <c r="E307" s="1929">
        <v>4</v>
      </c>
      <c r="F307" s="1929">
        <v>5</v>
      </c>
      <c r="G307" s="1929">
        <v>6</v>
      </c>
      <c r="H307" s="1929">
        <v>7</v>
      </c>
      <c r="I307" s="1929">
        <v>8</v>
      </c>
      <c r="J307" s="1911"/>
      <c r="K307" s="1911"/>
      <c r="M307" s="1349"/>
    </row>
    <row r="308" spans="2:13">
      <c r="B308" s="1919" t="s">
        <v>234</v>
      </c>
      <c r="C308" s="1922" t="s">
        <v>1400</v>
      </c>
      <c r="D308" s="1919" t="s">
        <v>268</v>
      </c>
      <c r="E308" s="1961">
        <f>'39 ИПЦ'!E7</f>
        <v>0</v>
      </c>
      <c r="F308" s="1961">
        <f>'39 ИПЦ'!F7</f>
        <v>0</v>
      </c>
      <c r="G308" s="1961">
        <f>'39 ИПЦ'!G7</f>
        <v>0</v>
      </c>
      <c r="H308" s="1961">
        <f>'39 ИПЦ'!H7</f>
        <v>0</v>
      </c>
      <c r="I308" s="1961">
        <f>'39 ИПЦ'!I7</f>
        <v>0</v>
      </c>
      <c r="J308" s="1911"/>
      <c r="K308" s="1911"/>
      <c r="M308" s="1349"/>
    </row>
    <row r="309" spans="2:13" ht="22.5">
      <c r="B309" s="1919" t="s">
        <v>237</v>
      </c>
      <c r="C309" s="1922" t="s">
        <v>1308</v>
      </c>
      <c r="D309" s="1919" t="s">
        <v>268</v>
      </c>
      <c r="E309" s="1961">
        <f>E184</f>
        <v>0</v>
      </c>
      <c r="F309" s="1961">
        <f>F184</f>
        <v>0</v>
      </c>
      <c r="G309" s="1961">
        <f>G184</f>
        <v>0</v>
      </c>
      <c r="H309" s="1961">
        <f>H184</f>
        <v>0</v>
      </c>
      <c r="I309" s="1961">
        <f>I184</f>
        <v>0</v>
      </c>
      <c r="J309" s="1911"/>
      <c r="K309" s="1911"/>
      <c r="M309" s="1349"/>
    </row>
    <row r="310" spans="2:13">
      <c r="B310" s="1919" t="s">
        <v>239</v>
      </c>
      <c r="C310" s="1922" t="s">
        <v>1401</v>
      </c>
      <c r="D310" s="1919" t="s">
        <v>276</v>
      </c>
      <c r="E310" s="1958">
        <f>'5. уе свод'!F38</f>
        <v>0</v>
      </c>
      <c r="F310" s="1958">
        <f>'5. уе свод'!F39</f>
        <v>0</v>
      </c>
      <c r="G310" s="1958">
        <f>'5. уе свод'!F40</f>
        <v>0</v>
      </c>
      <c r="H310" s="1958">
        <f>'5. уе свод'!F41</f>
        <v>0</v>
      </c>
      <c r="I310" s="1958">
        <f>'5. уе свод'!F42</f>
        <v>0</v>
      </c>
      <c r="M310" s="1349"/>
    </row>
    <row r="311" spans="2:13" ht="22.5">
      <c r="B311" s="1919" t="s">
        <v>242</v>
      </c>
      <c r="C311" s="1922" t="s">
        <v>1402</v>
      </c>
      <c r="D311" s="1919"/>
      <c r="E311" s="1962">
        <f>E185</f>
        <v>0</v>
      </c>
      <c r="F311" s="1962">
        <f>F185</f>
        <v>0</v>
      </c>
      <c r="G311" s="1962">
        <f>G185</f>
        <v>0</v>
      </c>
      <c r="H311" s="1962">
        <f>H185</f>
        <v>0</v>
      </c>
      <c r="I311" s="1962">
        <f>I185</f>
        <v>0</v>
      </c>
      <c r="M311" s="1349"/>
    </row>
    <row r="312" spans="2:13">
      <c r="B312" s="1919" t="s">
        <v>899</v>
      </c>
      <c r="C312" s="1922" t="s">
        <v>1403</v>
      </c>
      <c r="D312" s="1919" t="s">
        <v>268</v>
      </c>
      <c r="E312" s="1394" t="s">
        <v>1404</v>
      </c>
      <c r="F312" s="1961" t="str">
        <f>IF(E310=0,"х",(F310-E310)*F311/E310)</f>
        <v>х</v>
      </c>
      <c r="G312" s="1961" t="str">
        <f>IF(F310=0,"х",(G310-F310)*G311/F310)</f>
        <v>х</v>
      </c>
      <c r="H312" s="1961" t="str">
        <f>IF(G310=0,"х",(H310-G310)*H311/G310)</f>
        <v>х</v>
      </c>
      <c r="I312" s="1961" t="str">
        <f>IF(H310=0,"х",(I310-H310)*I311/H310)</f>
        <v>х</v>
      </c>
      <c r="M312" s="1349"/>
    </row>
    <row r="313" spans="2:13">
      <c r="B313" s="1919" t="s">
        <v>860</v>
      </c>
      <c r="C313" s="1922" t="s">
        <v>1405</v>
      </c>
      <c r="D313" s="1919"/>
      <c r="E313" s="1394" t="s">
        <v>1404</v>
      </c>
      <c r="F313" s="1960" t="str">
        <f>IF(F312="х","х",(1+F308)*(1+F312)*(1-F309))</f>
        <v>х</v>
      </c>
      <c r="G313" s="1960" t="str">
        <f>IF(G312="х","х",(1+G308)*(1+G312)*(1-G309))</f>
        <v>х</v>
      </c>
      <c r="H313" s="1960" t="str">
        <f>IF(H312="х","х",(1+H308)*(1+H312)*(1-H309))</f>
        <v>х</v>
      </c>
      <c r="I313" s="1960" t="str">
        <f>IF(I312="х","х",(1+I308)*(1+I312)*(1-I309))</f>
        <v>х</v>
      </c>
      <c r="M313" s="1349"/>
    </row>
    <row r="314" spans="2:13">
      <c r="B314" s="1919" t="s">
        <v>862</v>
      </c>
      <c r="C314" s="1922" t="s">
        <v>1307</v>
      </c>
      <c r="D314" s="1919" t="s">
        <v>226</v>
      </c>
      <c r="E314" s="1958">
        <f>E183*1000</f>
        <v>0</v>
      </c>
      <c r="F314" s="1958">
        <f>E314</f>
        <v>0</v>
      </c>
      <c r="G314" s="1958">
        <f>E314</f>
        <v>0</v>
      </c>
      <c r="H314" s="1958">
        <f>E314</f>
        <v>0</v>
      </c>
      <c r="I314" s="1958">
        <f>E314</f>
        <v>0</v>
      </c>
      <c r="M314" s="1349"/>
    </row>
    <row r="315" spans="2:13">
      <c r="B315" s="1918" t="s">
        <v>872</v>
      </c>
      <c r="C315" s="1395" t="s">
        <v>1406</v>
      </c>
      <c r="D315" s="1897" t="s">
        <v>226</v>
      </c>
      <c r="E315" s="1954">
        <f>E314</f>
        <v>0</v>
      </c>
      <c r="F315" s="1954" t="str">
        <f>IFERROR(E315*F313,"х")</f>
        <v>х</v>
      </c>
      <c r="G315" s="1954" t="str">
        <f>IFERROR(F315*G313,"х")</f>
        <v>х</v>
      </c>
      <c r="H315" s="1954" t="str">
        <f>IFERROR(G315*H313,"х")</f>
        <v>х</v>
      </c>
      <c r="I315" s="1954" t="str">
        <f>IFERROR(H315*I313,"х")</f>
        <v>х</v>
      </c>
      <c r="M315" s="1349"/>
    </row>
    <row r="316" spans="2:13" ht="22.5">
      <c r="B316" s="1919" t="s">
        <v>904</v>
      </c>
      <c r="C316" s="1922" t="s">
        <v>1407</v>
      </c>
      <c r="D316" s="1919" t="s">
        <v>268</v>
      </c>
      <c r="E316" s="1959">
        <f>'39 ИПЦ'!E8</f>
        <v>0</v>
      </c>
      <c r="F316" s="1959">
        <f>'39 ИПЦ'!F8</f>
        <v>0</v>
      </c>
      <c r="G316" s="1959">
        <f>'39 ИПЦ'!G8</f>
        <v>0</v>
      </c>
      <c r="H316" s="1959">
        <f>'39 ИПЦ'!H8</f>
        <v>0</v>
      </c>
      <c r="I316" s="1959">
        <f>'39 ИПЦ'!I8</f>
        <v>0</v>
      </c>
      <c r="M316" s="1349"/>
    </row>
    <row r="317" spans="2:13">
      <c r="B317" s="1919" t="s">
        <v>906</v>
      </c>
      <c r="C317" s="1922" t="s">
        <v>1408</v>
      </c>
      <c r="D317" s="1919" t="s">
        <v>276</v>
      </c>
      <c r="E317" s="1958">
        <f>'5. уе свод'!R38</f>
        <v>0</v>
      </c>
      <c r="F317" s="1958">
        <f>'5. уе свод'!R39</f>
        <v>0</v>
      </c>
      <c r="G317" s="1958">
        <f>'5. уе свод'!R40</f>
        <v>0</v>
      </c>
      <c r="H317" s="1958">
        <f>'5. уе свод'!R41</f>
        <v>0</v>
      </c>
      <c r="I317" s="1958">
        <f>'5. уе свод'!R42</f>
        <v>0</v>
      </c>
      <c r="M317" s="1349"/>
    </row>
    <row r="318" spans="2:13" ht="22.5">
      <c r="B318" s="1919" t="s">
        <v>908</v>
      </c>
      <c r="C318" s="1922" t="s">
        <v>1409</v>
      </c>
      <c r="D318" s="1919" t="s">
        <v>268</v>
      </c>
      <c r="E318" s="1958" t="s">
        <v>1404</v>
      </c>
      <c r="F318" s="1958" t="str">
        <f>IF(E317=0,"х",(F317-E317)*F311/E317)</f>
        <v>х</v>
      </c>
      <c r="G318" s="1958" t="str">
        <f>IF(F317=0,"х",(G317-F317)*G311/F317)</f>
        <v>х</v>
      </c>
      <c r="H318" s="1958" t="str">
        <f>IF(G317=0,"х",(H317-G317)*H311/G317)</f>
        <v>х</v>
      </c>
      <c r="I318" s="1958" t="str">
        <f>IF(H317=0,"х",(I317-H317)*I311/H317)</f>
        <v>х</v>
      </c>
      <c r="M318" s="1349"/>
    </row>
    <row r="319" spans="2:13" ht="22.5">
      <c r="B319" s="1919" t="s">
        <v>910</v>
      </c>
      <c r="C319" s="1922" t="s">
        <v>1410</v>
      </c>
      <c r="D319" s="1919"/>
      <c r="E319" s="1958" t="s">
        <v>1404</v>
      </c>
      <c r="F319" s="1958" t="str">
        <f>IF(F318="х","х",(1+F316)*(1+F318)*(1-F309))</f>
        <v>х</v>
      </c>
      <c r="G319" s="1958" t="str">
        <f>IF(G318="х","х",(1+G316)*(1+G318)*(1-G309))</f>
        <v>х</v>
      </c>
      <c r="H319" s="1958" t="str">
        <f>IF(H318="х","х",(1+H316)*(1+H318)*(1-H309))</f>
        <v>х</v>
      </c>
      <c r="I319" s="1958" t="str">
        <f>IF(I318="х","х",(1+I316)*(1+I318)*(1-I309))</f>
        <v>х</v>
      </c>
      <c r="M319" s="1349"/>
    </row>
    <row r="320" spans="2:13" ht="33.75">
      <c r="B320" s="1918" t="s">
        <v>912</v>
      </c>
      <c r="C320" s="1395" t="s">
        <v>1411</v>
      </c>
      <c r="D320" s="1897" t="s">
        <v>226</v>
      </c>
      <c r="E320" s="1954">
        <f>E315</f>
        <v>0</v>
      </c>
      <c r="F320" s="1954" t="str">
        <f>IFERROR(E320*F319,"х")</f>
        <v>х</v>
      </c>
      <c r="G320" s="1954" t="str">
        <f>IFERROR(F320*G319,"х")</f>
        <v>х</v>
      </c>
      <c r="H320" s="1954" t="str">
        <f>IFERROR(G320*H319,"х")</f>
        <v>х</v>
      </c>
      <c r="I320" s="1954" t="str">
        <f>IFERROR(H320*I319,"х")</f>
        <v>х</v>
      </c>
      <c r="M320" s="1349"/>
    </row>
    <row r="321" spans="2:13">
      <c r="M321" s="1349"/>
    </row>
    <row r="322" spans="2:13">
      <c r="C322" s="1911"/>
      <c r="D322" s="1911"/>
      <c r="E322" s="1911"/>
      <c r="F322" s="1911"/>
      <c r="G322" s="1911"/>
      <c r="H322" s="1911"/>
      <c r="I322" s="1910" t="s">
        <v>1928</v>
      </c>
      <c r="J322" s="1911"/>
      <c r="K322" s="1911"/>
      <c r="M322" s="1349"/>
    </row>
    <row r="323" spans="2:13">
      <c r="B323" s="2133" t="s">
        <v>12</v>
      </c>
      <c r="C323" s="2135" t="s">
        <v>954</v>
      </c>
      <c r="D323" s="2135" t="s">
        <v>262</v>
      </c>
      <c r="E323" s="1380" t="str">
        <f>E305</f>
        <v>2019 год</v>
      </c>
      <c r="F323" s="1380" t="str">
        <f>F305</f>
        <v>2020 год</v>
      </c>
      <c r="G323" s="1380" t="str">
        <f>G305</f>
        <v>2021 год</v>
      </c>
      <c r="H323" s="1380" t="str">
        <f>H305</f>
        <v>2022 год</v>
      </c>
      <c r="I323" s="1380" t="str">
        <f>I305</f>
        <v>2023 год</v>
      </c>
      <c r="J323" s="1911"/>
      <c r="K323" s="1911"/>
      <c r="M323" s="1349"/>
    </row>
    <row r="324" spans="2:13">
      <c r="B324" s="2134"/>
      <c r="C324" s="2136"/>
      <c r="D324" s="2136"/>
      <c r="E324" s="2137" t="s">
        <v>1290</v>
      </c>
      <c r="F324" s="2138"/>
      <c r="G324" s="2138"/>
      <c r="H324" s="2138"/>
      <c r="I324" s="2139"/>
      <c r="J324" s="1911"/>
      <c r="K324" s="1911"/>
      <c r="M324" s="1349"/>
    </row>
    <row r="325" spans="2:13">
      <c r="B325" s="1929">
        <v>1</v>
      </c>
      <c r="C325" s="1929">
        <v>2</v>
      </c>
      <c r="D325" s="1929">
        <v>3</v>
      </c>
      <c r="E325" s="1929">
        <v>4</v>
      </c>
      <c r="F325" s="1929">
        <v>5</v>
      </c>
      <c r="G325" s="1929">
        <v>6</v>
      </c>
      <c r="H325" s="1929">
        <v>7</v>
      </c>
      <c r="I325" s="1929">
        <v>8</v>
      </c>
      <c r="J325" s="1911"/>
      <c r="K325" s="1911"/>
      <c r="M325" s="1349"/>
    </row>
    <row r="326" spans="2:13">
      <c r="B326" s="1919" t="s">
        <v>234</v>
      </c>
      <c r="C326" s="1922" t="s">
        <v>1400</v>
      </c>
      <c r="D326" s="1919" t="s">
        <v>268</v>
      </c>
      <c r="E326" s="1961">
        <f>'39 ИПЦ'!E10</f>
        <v>0</v>
      </c>
      <c r="F326" s="1961">
        <f>'39 ИПЦ'!F10</f>
        <v>0</v>
      </c>
      <c r="G326" s="1961">
        <f>'39 ИПЦ'!G10</f>
        <v>0</v>
      </c>
      <c r="H326" s="1961">
        <f>'39 ИПЦ'!H10</f>
        <v>0</v>
      </c>
      <c r="I326" s="1961">
        <f>'39 ИПЦ'!I10</f>
        <v>0</v>
      </c>
      <c r="J326" s="1911"/>
      <c r="K326" s="1911"/>
      <c r="M326" s="1349"/>
    </row>
    <row r="327" spans="2:13" ht="22.5">
      <c r="B327" s="1919" t="s">
        <v>237</v>
      </c>
      <c r="C327" s="1922" t="s">
        <v>1308</v>
      </c>
      <c r="D327" s="1919" t="s">
        <v>268</v>
      </c>
      <c r="E327" s="1961">
        <f>E184</f>
        <v>0</v>
      </c>
      <c r="F327" s="1961">
        <f>F184</f>
        <v>0</v>
      </c>
      <c r="G327" s="1961">
        <f>G184</f>
        <v>0</v>
      </c>
      <c r="H327" s="1961">
        <f>H184</f>
        <v>0</v>
      </c>
      <c r="I327" s="1961">
        <f>I184</f>
        <v>0</v>
      </c>
      <c r="J327" s="1911"/>
      <c r="K327" s="1911"/>
      <c r="M327" s="1349"/>
    </row>
    <row r="328" spans="2:13">
      <c r="B328" s="1919" t="s">
        <v>239</v>
      </c>
      <c r="C328" s="1922" t="s">
        <v>1401</v>
      </c>
      <c r="D328" s="1919" t="s">
        <v>276</v>
      </c>
      <c r="E328" s="1958">
        <f>'5. уе свод'!L38</f>
        <v>0</v>
      </c>
      <c r="F328" s="1958">
        <f>'5. уе свод'!L39</f>
        <v>0</v>
      </c>
      <c r="G328" s="1958">
        <f>'5. уе свод'!L40</f>
        <v>0</v>
      </c>
      <c r="H328" s="1958">
        <f>'5. уе свод'!L41</f>
        <v>0</v>
      </c>
      <c r="I328" s="1958">
        <f>'5. уе свод'!L42</f>
        <v>0</v>
      </c>
      <c r="M328" s="1349"/>
    </row>
    <row r="329" spans="2:13" ht="22.5">
      <c r="B329" s="1919" t="s">
        <v>242</v>
      </c>
      <c r="C329" s="1922" t="s">
        <v>1402</v>
      </c>
      <c r="D329" s="1919"/>
      <c r="E329" s="1962">
        <f>E185</f>
        <v>0</v>
      </c>
      <c r="F329" s="1962">
        <f>F185</f>
        <v>0</v>
      </c>
      <c r="G329" s="1962">
        <f>G185</f>
        <v>0</v>
      </c>
      <c r="H329" s="1962">
        <f>H185</f>
        <v>0</v>
      </c>
      <c r="I329" s="1962">
        <f>I185</f>
        <v>0</v>
      </c>
      <c r="M329" s="1349"/>
    </row>
    <row r="330" spans="2:13">
      <c r="B330" s="1919" t="s">
        <v>899</v>
      </c>
      <c r="C330" s="1922" t="s">
        <v>1403</v>
      </c>
      <c r="D330" s="1919" t="s">
        <v>268</v>
      </c>
      <c r="E330" s="1394" t="s">
        <v>1404</v>
      </c>
      <c r="F330" s="1961" t="str">
        <f>IF(E328=0,"х",(F328-E328)*F329/E328)</f>
        <v>х</v>
      </c>
      <c r="G330" s="1961" t="str">
        <f>IF(F328=0,"х",(G328-F328)*G329/F328)</f>
        <v>х</v>
      </c>
      <c r="H330" s="1961" t="str">
        <f>IF(G328=0,"х",(H328-G328)*H329/G328)</f>
        <v>х</v>
      </c>
      <c r="I330" s="1961" t="str">
        <f>IF(H328=0,"х",(I328-H328)*I329/H328)</f>
        <v>х</v>
      </c>
      <c r="M330" s="1349"/>
    </row>
    <row r="331" spans="2:13">
      <c r="B331" s="1919" t="s">
        <v>860</v>
      </c>
      <c r="C331" s="1922" t="s">
        <v>1405</v>
      </c>
      <c r="D331" s="1919"/>
      <c r="E331" s="1394" t="s">
        <v>1404</v>
      </c>
      <c r="F331" s="1960" t="str">
        <f>IF(F330="х","х",(1+F326)*(1+F330)*(1-F327))</f>
        <v>х</v>
      </c>
      <c r="G331" s="1960" t="str">
        <f>IF(G330="х","х",(1+G326)*(1+G330)*(1-G327))</f>
        <v>х</v>
      </c>
      <c r="H331" s="1960" t="str">
        <f>IF(H330="х","х",(1+H326)*(1+H330)*(1-H327))</f>
        <v>х</v>
      </c>
      <c r="I331" s="1960" t="str">
        <f>IF(I330="х","х",(1+I326)*(1+I330)*(1-I327))</f>
        <v>х</v>
      </c>
      <c r="M331" s="1349"/>
    </row>
    <row r="332" spans="2:13">
      <c r="B332" s="1919" t="s">
        <v>862</v>
      </c>
      <c r="C332" s="1922" t="s">
        <v>1307</v>
      </c>
      <c r="D332" s="1919" t="s">
        <v>226</v>
      </c>
      <c r="E332" s="1958">
        <f>E183*1000</f>
        <v>0</v>
      </c>
      <c r="F332" s="1958">
        <f>E332</f>
        <v>0</v>
      </c>
      <c r="G332" s="1958">
        <f>E332</f>
        <v>0</v>
      </c>
      <c r="H332" s="1958">
        <f>E332</f>
        <v>0</v>
      </c>
      <c r="I332" s="1958">
        <f>E332</f>
        <v>0</v>
      </c>
      <c r="M332" s="1349"/>
    </row>
    <row r="333" spans="2:13">
      <c r="B333" s="1918" t="s">
        <v>872</v>
      </c>
      <c r="C333" s="1395" t="s">
        <v>1406</v>
      </c>
      <c r="D333" s="1897" t="s">
        <v>226</v>
      </c>
      <c r="E333" s="1954">
        <f>E314</f>
        <v>0</v>
      </c>
      <c r="F333" s="1954" t="str">
        <f>IFERROR(E333*F331,"х")</f>
        <v>х</v>
      </c>
      <c r="G333" s="1954" t="str">
        <f>IFERROR(F333*G331,"х")</f>
        <v>х</v>
      </c>
      <c r="H333" s="1954" t="str">
        <f>IFERROR(G333*H331,"х")</f>
        <v>х</v>
      </c>
      <c r="I333" s="1954" t="str">
        <f>IFERROR(H333*I331,"х")</f>
        <v>х</v>
      </c>
      <c r="M333" s="1349"/>
    </row>
    <row r="334" spans="2:13" ht="22.5">
      <c r="B334" s="1919" t="s">
        <v>904</v>
      </c>
      <c r="C334" s="1922" t="s">
        <v>1407</v>
      </c>
      <c r="D334" s="1919" t="s">
        <v>268</v>
      </c>
      <c r="E334" s="1959">
        <f>'39 ИПЦ'!E12</f>
        <v>0</v>
      </c>
      <c r="F334" s="1959">
        <f>'39 ИПЦ'!F12</f>
        <v>0</v>
      </c>
      <c r="G334" s="1959">
        <f>'39 ИПЦ'!G12</f>
        <v>0</v>
      </c>
      <c r="H334" s="1959">
        <f>'39 ИПЦ'!H12</f>
        <v>0</v>
      </c>
      <c r="I334" s="1959">
        <f>'39 ИПЦ'!I12</f>
        <v>0</v>
      </c>
      <c r="M334" s="1349"/>
    </row>
    <row r="335" spans="2:13">
      <c r="B335" s="1919" t="s">
        <v>906</v>
      </c>
      <c r="C335" s="1922" t="s">
        <v>1408</v>
      </c>
      <c r="D335" s="1919" t="s">
        <v>276</v>
      </c>
      <c r="E335" s="1958">
        <f>'5. уе свод'!X38</f>
        <v>0</v>
      </c>
      <c r="F335" s="1958">
        <f>'5. уе свод'!X39</f>
        <v>0</v>
      </c>
      <c r="G335" s="1958">
        <f>'5. уе свод'!X40</f>
        <v>0</v>
      </c>
      <c r="H335" s="1958">
        <f>'5. уе свод'!X41</f>
        <v>0</v>
      </c>
      <c r="I335" s="1958">
        <f>'5. уе свод'!X42</f>
        <v>0</v>
      </c>
      <c r="M335" s="1349"/>
    </row>
    <row r="336" spans="2:13" ht="22.5">
      <c r="B336" s="1919" t="s">
        <v>908</v>
      </c>
      <c r="C336" s="1922" t="s">
        <v>1409</v>
      </c>
      <c r="D336" s="1919" t="s">
        <v>268</v>
      </c>
      <c r="E336" s="1958" t="s">
        <v>1404</v>
      </c>
      <c r="F336" s="1958" t="str">
        <f>IF(E335=0,"х",(F335-E335)*F329/E335)</f>
        <v>х</v>
      </c>
      <c r="G336" s="1958" t="str">
        <f>IF(F335=0,"х",(G335-F335)*G329/F335)</f>
        <v>х</v>
      </c>
      <c r="H336" s="1958" t="str">
        <f>IF(G335=0,"х",(H335-G335)*H329/G335)</f>
        <v>х</v>
      </c>
      <c r="I336" s="1958" t="str">
        <f>IF(H335=0,"х",(I335-H335)*I329/H335)</f>
        <v>х</v>
      </c>
      <c r="M336" s="1349"/>
    </row>
    <row r="337" spans="2:13" ht="22.5">
      <c r="B337" s="1919" t="s">
        <v>910</v>
      </c>
      <c r="C337" s="1922" t="s">
        <v>1410</v>
      </c>
      <c r="D337" s="1919"/>
      <c r="E337" s="1958" t="s">
        <v>1404</v>
      </c>
      <c r="F337" s="1958" t="str">
        <f>IF(F336="х","х",(1+F334)*(1+F336)*(1-F327))</f>
        <v>х</v>
      </c>
      <c r="G337" s="1958" t="str">
        <f>IF(G336="х","х",(1+G334)*(1+G336)*(1-G327))</f>
        <v>х</v>
      </c>
      <c r="H337" s="1958" t="str">
        <f>IF(H336="х","х",(1+H334)*(1+H336)*(1-H327))</f>
        <v>х</v>
      </c>
      <c r="I337" s="1958" t="str">
        <f>IF(I336="х","х",(1+I334)*(1+I336)*(1-I327))</f>
        <v>х</v>
      </c>
      <c r="M337" s="1349"/>
    </row>
    <row r="338" spans="2:13" ht="33.75">
      <c r="B338" s="1918" t="s">
        <v>912</v>
      </c>
      <c r="C338" s="1395" t="s">
        <v>1411</v>
      </c>
      <c r="D338" s="1897" t="s">
        <v>226</v>
      </c>
      <c r="E338" s="1954">
        <f>E333</f>
        <v>0</v>
      </c>
      <c r="F338" s="1954" t="str">
        <f>IFERROR(E338*F337,"х")</f>
        <v>х</v>
      </c>
      <c r="G338" s="1954" t="str">
        <f>IFERROR(F338*G337,"х")</f>
        <v>х</v>
      </c>
      <c r="H338" s="1954" t="str">
        <f>IFERROR(G338*H337,"х")</f>
        <v>х</v>
      </c>
      <c r="I338" s="1954" t="str">
        <f>IFERROR(H338*I337,"х")</f>
        <v>х</v>
      </c>
      <c r="M338" s="1349"/>
    </row>
    <row r="339" spans="2:13">
      <c r="M339" s="1349"/>
    </row>
    <row r="340" spans="2:13" ht="15.75" customHeight="1">
      <c r="B340" s="2025" t="str">
        <f>CONCATENATE("Уровень операционных (подконтрольных) расходов на ",F4," год принят экспертами в размере ",H338," тыс. руб.")</f>
        <v>Уровень операционных (подконтрольных) расходов на 2024 год принят экспертами в размере х тыс. руб.</v>
      </c>
      <c r="C340" s="2025"/>
      <c r="D340" s="2025"/>
      <c r="E340" s="2025"/>
      <c r="F340" s="2025"/>
      <c r="G340" s="2025"/>
      <c r="H340" s="2025"/>
      <c r="I340" s="2025"/>
      <c r="J340" s="2025"/>
      <c r="K340" s="2025"/>
      <c r="M340" s="1349"/>
    </row>
    <row r="341" spans="2:13" ht="15.75" customHeight="1">
      <c r="B341" s="2025" t="str">
        <f>CONCATENATE("Корректировка предложения «Организации» на ",F4," год составила ",J240,"   тыс. руб. на основании:")</f>
        <v>Корректировка предложения «Организации» на 2024 год составила -   тыс. руб. на основании:</v>
      </c>
      <c r="C341" s="2025"/>
      <c r="D341" s="2025"/>
      <c r="E341" s="2025"/>
      <c r="F341" s="2025"/>
      <c r="G341" s="2025"/>
      <c r="H341" s="2025"/>
      <c r="I341" s="2025"/>
      <c r="J341" s="2025"/>
      <c r="K341" s="2025"/>
      <c r="M341" s="1349"/>
    </row>
    <row r="342" spans="2:13">
      <c r="B342" s="2026"/>
      <c r="C342" s="2026"/>
      <c r="D342" s="2026"/>
      <c r="E342" s="2026"/>
      <c r="F342" s="2026"/>
      <c r="G342" s="2026"/>
      <c r="H342" s="2026"/>
      <c r="I342" s="2026"/>
      <c r="J342" s="2026"/>
      <c r="K342" s="2026"/>
      <c r="M342" s="2044" t="s">
        <v>1412</v>
      </c>
    </row>
    <row r="343" spans="2:13">
      <c r="B343" s="2026"/>
      <c r="C343" s="2026"/>
      <c r="D343" s="2026"/>
      <c r="E343" s="2026"/>
      <c r="F343" s="2026"/>
      <c r="G343" s="2026"/>
      <c r="H343" s="2026"/>
      <c r="I343" s="2026"/>
      <c r="J343" s="2026"/>
      <c r="K343" s="2026"/>
      <c r="M343" s="2045"/>
    </row>
    <row r="344" spans="2:13">
      <c r="B344" s="2026"/>
      <c r="C344" s="2026"/>
      <c r="D344" s="2026"/>
      <c r="E344" s="2026"/>
      <c r="F344" s="2026"/>
      <c r="G344" s="2026"/>
      <c r="H344" s="2026"/>
      <c r="I344" s="2026"/>
      <c r="J344" s="2026"/>
      <c r="K344" s="2026"/>
      <c r="M344" s="2046"/>
    </row>
    <row r="345" spans="2:13">
      <c r="M345" s="1349"/>
    </row>
    <row r="346" spans="2:13">
      <c r="M346" s="1349"/>
    </row>
    <row r="347" spans="2:13" ht="15.75" customHeight="1">
      <c r="B347" s="2015" t="s">
        <v>1413</v>
      </c>
      <c r="C347" s="2015"/>
      <c r="D347" s="2015"/>
      <c r="E347" s="2015"/>
      <c r="F347" s="2015"/>
      <c r="G347" s="2015"/>
      <c r="H347" s="2015"/>
      <c r="I347" s="2015"/>
      <c r="J347" s="2015"/>
      <c r="K347" s="2015"/>
      <c r="M347" s="1349"/>
    </row>
    <row r="348" spans="2:13" ht="15.75" customHeight="1">
      <c r="B348" s="2015" t="s">
        <v>1414</v>
      </c>
      <c r="C348" s="2015"/>
      <c r="D348" s="2015"/>
      <c r="E348" s="2015"/>
      <c r="F348" s="2015"/>
      <c r="G348" s="2015"/>
      <c r="H348" s="2015"/>
      <c r="I348" s="2015"/>
      <c r="J348" s="2015"/>
      <c r="K348" s="2015"/>
      <c r="M348" s="1349"/>
    </row>
    <row r="349" spans="2:13">
      <c r="M349" s="1349"/>
    </row>
    <row r="350" spans="2:13" ht="39" customHeight="1">
      <c r="B350" s="2016" t="s">
        <v>1415</v>
      </c>
      <c r="C350" s="2016"/>
      <c r="D350" s="2016"/>
      <c r="E350" s="2016"/>
      <c r="F350" s="2016"/>
      <c r="G350" s="2016"/>
      <c r="H350" s="2016"/>
      <c r="I350" s="2016"/>
      <c r="J350" s="2016"/>
      <c r="K350" s="2016"/>
      <c r="M350" s="1349"/>
    </row>
    <row r="351" spans="2:13">
      <c r="K351" s="1910" t="s">
        <v>1416</v>
      </c>
      <c r="M351" s="1349"/>
    </row>
    <row r="352" spans="2:13" ht="36" customHeight="1">
      <c r="B352" s="2123" t="s">
        <v>12</v>
      </c>
      <c r="C352" s="2123" t="s">
        <v>954</v>
      </c>
      <c r="D352" s="2140" t="s">
        <v>262</v>
      </c>
      <c r="E352" s="2123" t="s">
        <v>1381</v>
      </c>
      <c r="F352" s="2123"/>
      <c r="G352" s="2123"/>
      <c r="H352" s="2123" t="s">
        <v>1287</v>
      </c>
      <c r="I352" s="2123"/>
      <c r="J352" s="2123"/>
      <c r="K352" s="2084" t="s">
        <v>1382</v>
      </c>
      <c r="M352" s="1349"/>
    </row>
    <row r="353" spans="2:13" ht="36" customHeight="1">
      <c r="B353" s="2123"/>
      <c r="C353" s="2123"/>
      <c r="D353" s="2140"/>
      <c r="E353" s="1923" t="s">
        <v>232</v>
      </c>
      <c r="F353" s="1923" t="s">
        <v>233</v>
      </c>
      <c r="G353" s="1396" t="str">
        <f>CONCATENATE(F4-2," год")</f>
        <v>2022 год</v>
      </c>
      <c r="H353" s="1923" t="s">
        <v>232</v>
      </c>
      <c r="I353" s="1923" t="s">
        <v>233</v>
      </c>
      <c r="J353" s="1396" t="str">
        <f>CONCATENATE(F4-2," год")</f>
        <v>2022 год</v>
      </c>
      <c r="K353" s="2084"/>
      <c r="M353" s="1349"/>
    </row>
    <row r="354" spans="2:13" ht="36" customHeight="1">
      <c r="B354" s="1929">
        <v>1</v>
      </c>
      <c r="C354" s="1397">
        <v>2</v>
      </c>
      <c r="D354" s="1397">
        <v>3</v>
      </c>
      <c r="E354" s="1397">
        <v>4</v>
      </c>
      <c r="F354" s="1397">
        <v>5</v>
      </c>
      <c r="G354" s="1397">
        <v>6</v>
      </c>
      <c r="H354" s="1397">
        <v>7</v>
      </c>
      <c r="I354" s="1397">
        <v>8</v>
      </c>
      <c r="J354" s="1397">
        <v>9</v>
      </c>
      <c r="K354" s="2084"/>
      <c r="M354" s="1349"/>
    </row>
    <row r="355" spans="2:13" ht="31.5" customHeight="1">
      <c r="B355" s="1921" t="s">
        <v>234</v>
      </c>
      <c r="C355" s="1932" t="s">
        <v>1417</v>
      </c>
      <c r="D355" s="1368" t="s">
        <v>241</v>
      </c>
      <c r="E355" s="1956">
        <f>'11 (ФСК)'!F11</f>
        <v>0</v>
      </c>
      <c r="F355" s="1956">
        <f>'11 (ФСК)'!F14</f>
        <v>0</v>
      </c>
      <c r="G355" s="1956">
        <f>E355/2+F355/2</f>
        <v>0</v>
      </c>
      <c r="H355" s="1956">
        <f>'11 (ФСК)'!J11</f>
        <v>0</v>
      </c>
      <c r="I355" s="1956">
        <f>'11 (ФСК)'!J14</f>
        <v>0</v>
      </c>
      <c r="J355" s="1956">
        <f>H355/2+I355/2</f>
        <v>0</v>
      </c>
      <c r="K355" s="1398"/>
      <c r="M355" s="1349"/>
    </row>
    <row r="356" spans="2:13">
      <c r="B356" s="1921" t="s">
        <v>237</v>
      </c>
      <c r="C356" s="1932" t="s">
        <v>1418</v>
      </c>
      <c r="D356" s="1368" t="s">
        <v>1419</v>
      </c>
      <c r="E356" s="1956">
        <f>'11 (ФСК)'!F12</f>
        <v>0</v>
      </c>
      <c r="F356" s="1956">
        <f>'11 (ФСК)'!F15</f>
        <v>0</v>
      </c>
      <c r="G356" s="1956" t="e">
        <f>G357/G355/12*1000</f>
        <v>#DIV/0!</v>
      </c>
      <c r="H356" s="1956">
        <f>'11 (ФСК)'!J12</f>
        <v>0</v>
      </c>
      <c r="I356" s="1956">
        <f>'11 (ФСК)'!J15</f>
        <v>0</v>
      </c>
      <c r="J356" s="1956" t="e">
        <f>J357/J355/12*1000</f>
        <v>#DIV/0!</v>
      </c>
      <c r="K356" s="1398"/>
      <c r="M356" s="1349"/>
    </row>
    <row r="357" spans="2:13">
      <c r="B357" s="1923" t="s">
        <v>239</v>
      </c>
      <c r="C357" s="1386" t="s">
        <v>1420</v>
      </c>
      <c r="D357" s="1924" t="s">
        <v>226</v>
      </c>
      <c r="E357" s="1955">
        <f>E355*E356*6/1000</f>
        <v>0</v>
      </c>
      <c r="F357" s="1955">
        <f>F355*F356*6/1000</f>
        <v>0</v>
      </c>
      <c r="G357" s="1955">
        <f>E357+F357</f>
        <v>0</v>
      </c>
      <c r="H357" s="1955">
        <f>H355*H356*6/1000</f>
        <v>0</v>
      </c>
      <c r="I357" s="1955">
        <f>I355*I356*6/1000</f>
        <v>0</v>
      </c>
      <c r="J357" s="1955">
        <f>H357+I357</f>
        <v>0</v>
      </c>
      <c r="K357" s="1398"/>
      <c r="M357" s="1349"/>
    </row>
    <row r="358" spans="2:13">
      <c r="B358" s="1921" t="s">
        <v>242</v>
      </c>
      <c r="C358" s="1932" t="s">
        <v>1421</v>
      </c>
      <c r="D358" s="1368" t="s">
        <v>249</v>
      </c>
      <c r="E358" s="1398"/>
      <c r="F358" s="1398"/>
      <c r="G358" s="1956">
        <f>E358+F358</f>
        <v>0</v>
      </c>
      <c r="H358" s="1398"/>
      <c r="I358" s="1398"/>
      <c r="J358" s="1956">
        <f>H358+I358</f>
        <v>0</v>
      </c>
      <c r="K358" s="1398"/>
      <c r="M358" s="1349"/>
    </row>
    <row r="359" spans="2:13">
      <c r="B359" s="1921" t="s">
        <v>899</v>
      </c>
      <c r="C359" s="1932" t="s">
        <v>1422</v>
      </c>
      <c r="D359" s="1368" t="s">
        <v>249</v>
      </c>
      <c r="E359" s="1398"/>
      <c r="F359" s="1398"/>
      <c r="G359" s="1956">
        <f>E359+F359</f>
        <v>0</v>
      </c>
      <c r="H359" s="1398"/>
      <c r="I359" s="1398"/>
      <c r="J359" s="1956">
        <f>H359+I359</f>
        <v>0</v>
      </c>
      <c r="K359" s="1398"/>
      <c r="M359" s="1349"/>
    </row>
    <row r="360" spans="2:13">
      <c r="B360" s="1921" t="s">
        <v>860</v>
      </c>
      <c r="C360" s="1932" t="s">
        <v>1423</v>
      </c>
      <c r="D360" s="1368" t="s">
        <v>268</v>
      </c>
      <c r="E360" s="1399"/>
      <c r="F360" s="1399"/>
      <c r="G360" s="1957" t="s">
        <v>1404</v>
      </c>
      <c r="H360" s="1399"/>
      <c r="I360" s="1399"/>
      <c r="J360" s="1957" t="s">
        <v>1404</v>
      </c>
      <c r="K360" s="1398"/>
      <c r="M360" s="1349"/>
    </row>
    <row r="361" spans="2:13">
      <c r="B361" s="1921" t="s">
        <v>862</v>
      </c>
      <c r="C361" s="1932" t="s">
        <v>1424</v>
      </c>
      <c r="D361" s="1368" t="s">
        <v>268</v>
      </c>
      <c r="E361" s="1399"/>
      <c r="F361" s="1399"/>
      <c r="G361" s="1957" t="s">
        <v>1404</v>
      </c>
      <c r="H361" s="1399"/>
      <c r="I361" s="1399"/>
      <c r="J361" s="1957" t="s">
        <v>1404</v>
      </c>
      <c r="K361" s="1398"/>
      <c r="M361" s="1349"/>
    </row>
    <row r="362" spans="2:13">
      <c r="B362" s="1921" t="s">
        <v>872</v>
      </c>
      <c r="C362" s="1932" t="s">
        <v>1425</v>
      </c>
      <c r="D362" s="1368" t="s">
        <v>249</v>
      </c>
      <c r="E362" s="1956">
        <f>E358*E360+E359*E361</f>
        <v>0</v>
      </c>
      <c r="F362" s="1956">
        <f>F358*F360+F359*F361</f>
        <v>0</v>
      </c>
      <c r="G362" s="1956">
        <f>E362+F362</f>
        <v>0</v>
      </c>
      <c r="H362" s="1956">
        <f>H358*H360+H359*H361</f>
        <v>0</v>
      </c>
      <c r="I362" s="1956">
        <f>I358*I360+I359*I361</f>
        <v>0</v>
      </c>
      <c r="J362" s="1956">
        <f>H362+I362</f>
        <v>0</v>
      </c>
      <c r="K362" s="1398"/>
      <c r="M362" s="1349"/>
    </row>
    <row r="363" spans="2:13">
      <c r="B363" s="1921" t="s">
        <v>904</v>
      </c>
      <c r="C363" s="1932" t="s">
        <v>1426</v>
      </c>
      <c r="D363" s="1368" t="s">
        <v>285</v>
      </c>
      <c r="E363" s="1956">
        <f>'11 (ФСК)'!F25</f>
        <v>0</v>
      </c>
      <c r="F363" s="1956">
        <f>'11 (ФСК)'!F34</f>
        <v>0</v>
      </c>
      <c r="G363" s="1956" t="e">
        <f>G364/G362</f>
        <v>#DIV/0!</v>
      </c>
      <c r="H363" s="1956">
        <f>'11 (ФСК)'!J25</f>
        <v>0</v>
      </c>
      <c r="I363" s="1956">
        <f>'11 (ФСК)'!J34</f>
        <v>0</v>
      </c>
      <c r="J363" s="1956" t="e">
        <f>J364/J362</f>
        <v>#DIV/0!</v>
      </c>
      <c r="K363" s="1398"/>
      <c r="M363" s="1349"/>
    </row>
    <row r="364" spans="2:13">
      <c r="B364" s="1923" t="s">
        <v>906</v>
      </c>
      <c r="C364" s="1386" t="s">
        <v>1427</v>
      </c>
      <c r="D364" s="1924" t="s">
        <v>226</v>
      </c>
      <c r="E364" s="1955">
        <f>E363*E362</f>
        <v>0</v>
      </c>
      <c r="F364" s="1955">
        <f>F363*F362</f>
        <v>0</v>
      </c>
      <c r="G364" s="1955">
        <f>E364+F364</f>
        <v>0</v>
      </c>
      <c r="H364" s="1955">
        <f>H363*H362</f>
        <v>0</v>
      </c>
      <c r="I364" s="1955">
        <f>I363*I362</f>
        <v>0</v>
      </c>
      <c r="J364" s="1955">
        <f>H364+I364</f>
        <v>0</v>
      </c>
      <c r="K364" s="1398"/>
      <c r="M364" s="1349"/>
    </row>
    <row r="365" spans="2:13">
      <c r="B365" s="1923" t="s">
        <v>908</v>
      </c>
      <c r="C365" s="1386" t="s">
        <v>1428</v>
      </c>
      <c r="D365" s="1924" t="s">
        <v>226</v>
      </c>
      <c r="E365" s="1954">
        <f t="shared" ref="E365:J365" si="7">E364+E357</f>
        <v>0</v>
      </c>
      <c r="F365" s="1954">
        <f t="shared" si="7"/>
        <v>0</v>
      </c>
      <c r="G365" s="1954">
        <f t="shared" si="7"/>
        <v>0</v>
      </c>
      <c r="H365" s="1954">
        <f t="shared" si="7"/>
        <v>0</v>
      </c>
      <c r="I365" s="1954">
        <f t="shared" si="7"/>
        <v>0</v>
      </c>
      <c r="J365" s="1954">
        <f t="shared" si="7"/>
        <v>0</v>
      </c>
      <c r="K365" s="1398"/>
      <c r="M365" s="1349"/>
    </row>
    <row r="366" spans="2:13">
      <c r="B366" s="1400"/>
      <c r="C366" s="1401"/>
      <c r="D366" s="1402"/>
      <c r="E366" s="1403"/>
      <c r="F366" s="1403"/>
      <c r="G366" s="1403"/>
      <c r="H366" s="1403"/>
      <c r="I366" s="1403"/>
      <c r="J366" s="1403"/>
      <c r="K366" s="1404"/>
      <c r="M366" s="1899"/>
    </row>
    <row r="367" spans="2:13" ht="39" customHeight="1">
      <c r="B367" s="2016" t="s">
        <v>1429</v>
      </c>
      <c r="C367" s="2016"/>
      <c r="D367" s="2016"/>
      <c r="E367" s="2016"/>
      <c r="F367" s="2016"/>
      <c r="G367" s="2016"/>
      <c r="H367" s="2016"/>
      <c r="I367" s="2016"/>
      <c r="J367" s="2016"/>
      <c r="K367" s="2016"/>
      <c r="M367" s="1349"/>
    </row>
    <row r="368" spans="2:13">
      <c r="K368" s="1910" t="s">
        <v>1430</v>
      </c>
      <c r="M368" s="1349"/>
    </row>
    <row r="369" spans="2:13" ht="36" customHeight="1">
      <c r="B369" s="2123" t="s">
        <v>12</v>
      </c>
      <c r="C369" s="2123" t="s">
        <v>954</v>
      </c>
      <c r="D369" s="2140" t="s">
        <v>262</v>
      </c>
      <c r="E369" s="2123" t="s">
        <v>1330</v>
      </c>
      <c r="F369" s="2123"/>
      <c r="G369" s="2123"/>
      <c r="H369" s="2140" t="s">
        <v>1290</v>
      </c>
      <c r="I369" s="2140"/>
      <c r="J369" s="2140"/>
      <c r="K369" s="2084" t="s">
        <v>1382</v>
      </c>
      <c r="M369" s="1349"/>
    </row>
    <row r="370" spans="2:13" ht="36" customHeight="1">
      <c r="B370" s="2123"/>
      <c r="C370" s="2123"/>
      <c r="D370" s="2140"/>
      <c r="E370" s="1923" t="s">
        <v>232</v>
      </c>
      <c r="F370" s="1923" t="s">
        <v>233</v>
      </c>
      <c r="G370" s="1396" t="str">
        <f>CONCATENATE(F4," год")</f>
        <v>2024 год</v>
      </c>
      <c r="H370" s="1923" t="s">
        <v>232</v>
      </c>
      <c r="I370" s="1923" t="s">
        <v>233</v>
      </c>
      <c r="J370" s="1396" t="str">
        <f>CONCATENATE(F4," год")</f>
        <v>2024 год</v>
      </c>
      <c r="K370" s="2084"/>
      <c r="M370" s="1349"/>
    </row>
    <row r="371" spans="2:13" ht="36" customHeight="1">
      <c r="B371" s="1929">
        <v>1</v>
      </c>
      <c r="C371" s="1397">
        <v>2</v>
      </c>
      <c r="D371" s="1397">
        <v>3</v>
      </c>
      <c r="E371" s="1397">
        <v>4</v>
      </c>
      <c r="F371" s="1397">
        <v>5</v>
      </c>
      <c r="G371" s="1397">
        <v>6</v>
      </c>
      <c r="H371" s="1397">
        <v>7</v>
      </c>
      <c r="I371" s="1397">
        <v>8</v>
      </c>
      <c r="J371" s="1397">
        <v>9</v>
      </c>
      <c r="K371" s="2084"/>
      <c r="M371" s="1349"/>
    </row>
    <row r="372" spans="2:13" ht="31.5" customHeight="1">
      <c r="B372" s="1921" t="s">
        <v>234</v>
      </c>
      <c r="C372" s="1932" t="s">
        <v>1417</v>
      </c>
      <c r="D372" s="1368" t="s">
        <v>241</v>
      </c>
      <c r="E372" s="1956">
        <f>'11 (ФСК)'!I11</f>
        <v>0</v>
      </c>
      <c r="F372" s="1956">
        <f>'11 (ФСК)'!I14</f>
        <v>0</v>
      </c>
      <c r="G372" s="1956">
        <f>E372/2+F372/2</f>
        <v>0</v>
      </c>
      <c r="H372" s="1956">
        <f>'11 (ФСК)'!L11</f>
        <v>0</v>
      </c>
      <c r="I372" s="1956">
        <f>'11 (ФСК)'!L14</f>
        <v>0</v>
      </c>
      <c r="J372" s="1956">
        <f>H372/2+I372/2</f>
        <v>0</v>
      </c>
      <c r="K372" s="1398"/>
      <c r="M372" s="1899"/>
    </row>
    <row r="373" spans="2:13">
      <c r="B373" s="1921" t="s">
        <v>237</v>
      </c>
      <c r="C373" s="1932" t="s">
        <v>1418</v>
      </c>
      <c r="D373" s="1368" t="s">
        <v>1419</v>
      </c>
      <c r="E373" s="1956">
        <f>'11 (ФСК)'!I12</f>
        <v>0</v>
      </c>
      <c r="F373" s="1956">
        <f>'11 (ФСК)'!I15</f>
        <v>0</v>
      </c>
      <c r="G373" s="1956" t="e">
        <f>G374/G372/12*1000</f>
        <v>#DIV/0!</v>
      </c>
      <c r="H373" s="1956">
        <f>'11 (ФСК)'!L12</f>
        <v>0</v>
      </c>
      <c r="I373" s="1956">
        <f>'11 (ФСК)'!L15</f>
        <v>0</v>
      </c>
      <c r="J373" s="1956" t="e">
        <f>J374/J372/12*1000</f>
        <v>#DIV/0!</v>
      </c>
      <c r="K373" s="1398"/>
      <c r="M373" s="1899"/>
    </row>
    <row r="374" spans="2:13">
      <c r="B374" s="1923" t="s">
        <v>239</v>
      </c>
      <c r="C374" s="1386" t="s">
        <v>1420</v>
      </c>
      <c r="D374" s="1924" t="s">
        <v>226</v>
      </c>
      <c r="E374" s="1955">
        <f>E372*E373*6/1000</f>
        <v>0</v>
      </c>
      <c r="F374" s="1955">
        <f>F372*F373*6/1000</f>
        <v>0</v>
      </c>
      <c r="G374" s="1955">
        <f>E374+F374</f>
        <v>0</v>
      </c>
      <c r="H374" s="1955">
        <f>H372*H373*6/1000</f>
        <v>0</v>
      </c>
      <c r="I374" s="1955">
        <f>I372*I373*6/1000</f>
        <v>0</v>
      </c>
      <c r="J374" s="1955">
        <f>H374+I374</f>
        <v>0</v>
      </c>
      <c r="K374" s="1398"/>
      <c r="M374" s="1899"/>
    </row>
    <row r="375" spans="2:13">
      <c r="B375" s="1921" t="s">
        <v>242</v>
      </c>
      <c r="C375" s="1932" t="s">
        <v>1421</v>
      </c>
      <c r="D375" s="1368" t="s">
        <v>249</v>
      </c>
      <c r="E375" s="1956">
        <f>'11 (ФСК)'!I20/1000</f>
        <v>0</v>
      </c>
      <c r="F375" s="1956">
        <f>'11 (ФСК)'!I29/1000</f>
        <v>0</v>
      </c>
      <c r="G375" s="1956">
        <f>E375+F375</f>
        <v>0</v>
      </c>
      <c r="H375" s="1956">
        <f>'11 (ФСК)'!L20</f>
        <v>0</v>
      </c>
      <c r="I375" s="1956">
        <f>'11 (ФСК)'!L29</f>
        <v>0</v>
      </c>
      <c r="J375" s="1956">
        <f>H375+I375</f>
        <v>0</v>
      </c>
      <c r="K375" s="1398"/>
      <c r="M375" s="1899"/>
    </row>
    <row r="376" spans="2:13">
      <c r="B376" s="1921" t="s">
        <v>899</v>
      </c>
      <c r="C376" s="1932" t="s">
        <v>1422</v>
      </c>
      <c r="D376" s="1368" t="s">
        <v>249</v>
      </c>
      <c r="E376" s="1956">
        <f>'11 (ФСК)'!I21/1000</f>
        <v>0</v>
      </c>
      <c r="F376" s="1956">
        <f>'11 (ФСК)'!I30/1000</f>
        <v>0</v>
      </c>
      <c r="G376" s="1956">
        <f>E376+F376</f>
        <v>0</v>
      </c>
      <c r="H376" s="1956">
        <f>'11 (ФСК)'!L21</f>
        <v>0</v>
      </c>
      <c r="I376" s="1956">
        <f>'11 (ФСК)'!L30</f>
        <v>0</v>
      </c>
      <c r="J376" s="1956">
        <f>H376+I376</f>
        <v>0</v>
      </c>
      <c r="K376" s="1398"/>
      <c r="M376" s="1899"/>
    </row>
    <row r="377" spans="2:13">
      <c r="B377" s="1921" t="s">
        <v>860</v>
      </c>
      <c r="C377" s="1932" t="s">
        <v>1423</v>
      </c>
      <c r="D377" s="1368" t="s">
        <v>268</v>
      </c>
      <c r="E377" s="1957">
        <f>'11 (ФСК)'!I23</f>
        <v>0</v>
      </c>
      <c r="F377" s="1957">
        <f>'11 (ФСК)'!I32</f>
        <v>0</v>
      </c>
      <c r="G377" s="1957" t="s">
        <v>1404</v>
      </c>
      <c r="H377" s="1957">
        <f>'11 (ФСК)'!L23</f>
        <v>0</v>
      </c>
      <c r="I377" s="1957">
        <f>'11 (ФСК)'!L32</f>
        <v>0</v>
      </c>
      <c r="J377" s="1957" t="s">
        <v>1404</v>
      </c>
      <c r="K377" s="1398"/>
      <c r="M377" s="1899"/>
    </row>
    <row r="378" spans="2:13">
      <c r="B378" s="1921" t="s">
        <v>862</v>
      </c>
      <c r="C378" s="1932" t="s">
        <v>1424</v>
      </c>
      <c r="D378" s="1368" t="s">
        <v>268</v>
      </c>
      <c r="E378" s="1957">
        <f>'11 (ФСК)'!I24</f>
        <v>0</v>
      </c>
      <c r="F378" s="1957">
        <f>'11 (ФСК)'!I33</f>
        <v>0</v>
      </c>
      <c r="G378" s="1957" t="s">
        <v>1404</v>
      </c>
      <c r="H378" s="1957">
        <f>'11 (ФСК)'!L24</f>
        <v>0</v>
      </c>
      <c r="I378" s="1957">
        <f>'11 (ФСК)'!L33</f>
        <v>0</v>
      </c>
      <c r="J378" s="1957" t="s">
        <v>1404</v>
      </c>
      <c r="K378" s="1398"/>
      <c r="M378" s="1899"/>
    </row>
    <row r="379" spans="2:13">
      <c r="B379" s="1921" t="s">
        <v>872</v>
      </c>
      <c r="C379" s="1932" t="s">
        <v>1425</v>
      </c>
      <c r="D379" s="1368" t="s">
        <v>249</v>
      </c>
      <c r="E379" s="1956">
        <f>E375*E377+E376*E378</f>
        <v>0</v>
      </c>
      <c r="F379" s="1956">
        <f>F375*F377+F376*F378</f>
        <v>0</v>
      </c>
      <c r="G379" s="1956">
        <f>E379+F379</f>
        <v>0</v>
      </c>
      <c r="H379" s="1956">
        <f>H375*H377+H376*H378</f>
        <v>0</v>
      </c>
      <c r="I379" s="1956">
        <f>I375*I377+I376*I378</f>
        <v>0</v>
      </c>
      <c r="J379" s="1956">
        <f>H379+I379</f>
        <v>0</v>
      </c>
      <c r="K379" s="1398"/>
      <c r="M379" s="1899"/>
    </row>
    <row r="380" spans="2:13">
      <c r="B380" s="1921" t="s">
        <v>904</v>
      </c>
      <c r="C380" s="1932" t="s">
        <v>1426</v>
      </c>
      <c r="D380" s="1368" t="s">
        <v>285</v>
      </c>
      <c r="E380" s="1956">
        <f>'11 (ФСК)'!I25</f>
        <v>0</v>
      </c>
      <c r="F380" s="1956">
        <f>'11 (ФСК)'!I34</f>
        <v>0</v>
      </c>
      <c r="G380" s="1956" t="e">
        <f>G381/G379</f>
        <v>#DIV/0!</v>
      </c>
      <c r="H380" s="1956">
        <f>'11 (ФСК)'!L25</f>
        <v>0</v>
      </c>
      <c r="I380" s="1956">
        <f>'11 (ФСК)'!L34</f>
        <v>0</v>
      </c>
      <c r="J380" s="1956" t="e">
        <f>J381/J379</f>
        <v>#DIV/0!</v>
      </c>
      <c r="K380" s="1398"/>
      <c r="M380" s="1899"/>
    </row>
    <row r="381" spans="2:13">
      <c r="B381" s="1923" t="s">
        <v>906</v>
      </c>
      <c r="C381" s="1386" t="s">
        <v>1427</v>
      </c>
      <c r="D381" s="1924" t="s">
        <v>226</v>
      </c>
      <c r="E381" s="1955">
        <f>E380*E379</f>
        <v>0</v>
      </c>
      <c r="F381" s="1955">
        <f>F380*F379</f>
        <v>0</v>
      </c>
      <c r="G381" s="1955">
        <f>E381+F381</f>
        <v>0</v>
      </c>
      <c r="H381" s="1955">
        <f>H380*H379</f>
        <v>0</v>
      </c>
      <c r="I381" s="1955">
        <f>I380*I379</f>
        <v>0</v>
      </c>
      <c r="J381" s="1955">
        <f>H381+I381</f>
        <v>0</v>
      </c>
      <c r="K381" s="1398"/>
      <c r="M381" s="1899"/>
    </row>
    <row r="382" spans="2:13">
      <c r="B382" s="1923" t="s">
        <v>908</v>
      </c>
      <c r="C382" s="1386" t="s">
        <v>1428</v>
      </c>
      <c r="D382" s="1924" t="s">
        <v>226</v>
      </c>
      <c r="E382" s="1954">
        <f t="shared" ref="E382:J382" si="8">E381+E374</f>
        <v>0</v>
      </c>
      <c r="F382" s="1954">
        <f t="shared" si="8"/>
        <v>0</v>
      </c>
      <c r="G382" s="1954">
        <f t="shared" si="8"/>
        <v>0</v>
      </c>
      <c r="H382" s="1954">
        <f t="shared" si="8"/>
        <v>0</v>
      </c>
      <c r="I382" s="1954">
        <f t="shared" si="8"/>
        <v>0</v>
      </c>
      <c r="J382" s="1954">
        <f t="shared" si="8"/>
        <v>0</v>
      </c>
      <c r="K382" s="1398"/>
      <c r="M382" s="1899"/>
    </row>
    <row r="383" spans="2:13">
      <c r="M383" s="1349"/>
    </row>
    <row r="384" spans="2:13" ht="15.75" customHeight="1">
      <c r="B384" s="2025" t="str">
        <f>CONCATENATE("Фактические расходы по оплате услуг ПАО «ФСК ЕЭС» за ",F4-2," год согласованы экспертами на уровне ",F213," тыс. руб. исходя из следующего:")</f>
        <v>Фактические расходы по оплате услуг ПАО «ФСК ЕЭС» за 2022 год согласованы экспертами на уровне 0 тыс. руб. исходя из следующего:</v>
      </c>
      <c r="C384" s="2025"/>
      <c r="D384" s="2025"/>
      <c r="E384" s="2025"/>
      <c r="F384" s="2025"/>
      <c r="G384" s="2025"/>
      <c r="H384" s="2025"/>
      <c r="I384" s="2025"/>
      <c r="J384" s="2025"/>
      <c r="K384" s="2025"/>
      <c r="M384" s="1349"/>
    </row>
    <row r="385" spans="2:13">
      <c r="B385" s="2026"/>
      <c r="C385" s="2026"/>
      <c r="D385" s="2026"/>
      <c r="E385" s="2026"/>
      <c r="F385" s="2026"/>
      <c r="G385" s="2026"/>
      <c r="H385" s="2026"/>
      <c r="I385" s="2026"/>
      <c r="J385" s="2026"/>
      <c r="K385" s="2026"/>
      <c r="M385" s="2044" t="s">
        <v>1431</v>
      </c>
    </row>
    <row r="386" spans="2:13">
      <c r="B386" s="2026"/>
      <c r="C386" s="2026"/>
      <c r="D386" s="2026"/>
      <c r="E386" s="2026"/>
      <c r="F386" s="2026"/>
      <c r="G386" s="2026"/>
      <c r="H386" s="2026"/>
      <c r="I386" s="2026"/>
      <c r="J386" s="2026"/>
      <c r="K386" s="2026"/>
      <c r="M386" s="2045"/>
    </row>
    <row r="387" spans="2:13">
      <c r="B387" s="2026"/>
      <c r="C387" s="2026"/>
      <c r="D387" s="2026"/>
      <c r="E387" s="2026"/>
      <c r="F387" s="2026"/>
      <c r="G387" s="2026"/>
      <c r="H387" s="2026"/>
      <c r="I387" s="2026"/>
      <c r="J387" s="2026"/>
      <c r="K387" s="2026"/>
      <c r="M387" s="2046"/>
    </row>
    <row r="388" spans="2:13" ht="15.75" customHeight="1">
      <c r="B388" s="2025" t="str">
        <f>CONCATENATE("Стоимость услуг по передаче электрической энергии (мощности) по сетям ПАО «ФСК ЕЭС» на ",F4," год определена в размере ",J382," тыс.руб. исходя из:")</f>
        <v>Стоимость услуг по передаче электрической энергии (мощности) по сетям ПАО «ФСК ЕЭС» на 2024 год определена в размере 0 тыс.руб. исходя из:</v>
      </c>
      <c r="C388" s="2025"/>
      <c r="D388" s="2025"/>
      <c r="E388" s="2025"/>
      <c r="F388" s="2025"/>
      <c r="G388" s="2025"/>
      <c r="H388" s="2025"/>
      <c r="I388" s="2025"/>
      <c r="J388" s="2025"/>
      <c r="K388" s="2025"/>
      <c r="M388" s="1349"/>
    </row>
    <row r="389" spans="2:13" ht="33.75" customHeight="1">
      <c r="B389" s="2025" t="s">
        <v>1432</v>
      </c>
      <c r="C389" s="2025"/>
      <c r="D389" s="2025"/>
      <c r="E389" s="2025"/>
      <c r="F389" s="2025"/>
      <c r="G389" s="2025"/>
      <c r="H389" s="2025"/>
      <c r="I389" s="2025"/>
      <c r="J389" s="2025"/>
      <c r="K389" s="2025"/>
      <c r="M389" s="1349"/>
    </row>
    <row r="390" spans="2:13" ht="15.75" customHeight="1">
      <c r="B390" s="2025" t="str">
        <f>CONCATENATE("   - заявленной мощности принятой к расчету в размере ",J372," МВт (1 пол. ",H372," МВт, 2 пол. ",I372," МВт), в соответствии с ___;")</f>
        <v xml:space="preserve">   - заявленной мощности принятой к расчету в размере 0 МВт (1 пол. 0 МВт, 2 пол. 0 МВт), в соответствии с ___;</v>
      </c>
      <c r="C390" s="2025"/>
      <c r="D390" s="2025"/>
      <c r="E390" s="2025"/>
      <c r="F390" s="2025"/>
      <c r="G390" s="2025"/>
      <c r="H390" s="2025"/>
      <c r="I390" s="2025"/>
      <c r="J390" s="2025"/>
      <c r="K390" s="2025"/>
      <c r="M390" s="1349"/>
    </row>
    <row r="391" spans="2:13" ht="36" customHeight="1">
      <c r="B391" s="2025" t="s">
        <v>1433</v>
      </c>
      <c r="C391" s="2025"/>
      <c r="D391" s="2025"/>
      <c r="E391" s="2025"/>
      <c r="F391" s="2025"/>
      <c r="G391" s="2025"/>
      <c r="H391" s="2025"/>
      <c r="I391" s="2025"/>
      <c r="J391" s="2025"/>
      <c r="K391" s="2025"/>
      <c r="M391" s="1349"/>
    </row>
    <row r="392" spans="2:13" ht="15.75" customHeight="1">
      <c r="B392" s="2025" t="s">
        <v>1434</v>
      </c>
      <c r="C392" s="2025"/>
      <c r="D392" s="2025"/>
      <c r="E392" s="2025"/>
      <c r="F392" s="2025"/>
      <c r="G392" s="2025"/>
      <c r="H392" s="2025"/>
      <c r="I392" s="2025"/>
      <c r="J392" s="2025"/>
      <c r="K392" s="2025"/>
      <c r="M392" s="1349"/>
    </row>
    <row r="393" spans="2:13" ht="15.75" customHeight="1">
      <c r="B393" s="2025" t="str">
        <f>CONCATENATE("Корректировка предложения «Организации» на ",F4," год составила ",J213,"   тыс. руб. на основании:")</f>
        <v>Корректировка предложения «Организации» на 2024 год составила 0   тыс. руб. на основании:</v>
      </c>
      <c r="C393" s="2025"/>
      <c r="D393" s="2025"/>
      <c r="E393" s="2025"/>
      <c r="F393" s="2025"/>
      <c r="G393" s="2025"/>
      <c r="H393" s="2025"/>
      <c r="I393" s="2025"/>
      <c r="J393" s="2025"/>
      <c r="K393" s="2025"/>
      <c r="M393" s="1349"/>
    </row>
    <row r="394" spans="2:13">
      <c r="B394" s="2026"/>
      <c r="C394" s="2026"/>
      <c r="D394" s="2026"/>
      <c r="E394" s="2026"/>
      <c r="F394" s="2026"/>
      <c r="G394" s="2026"/>
      <c r="H394" s="2026"/>
      <c r="I394" s="2026"/>
      <c r="J394" s="2026"/>
      <c r="K394" s="2026"/>
      <c r="M394" s="2044" t="s">
        <v>1412</v>
      </c>
    </row>
    <row r="395" spans="2:13">
      <c r="B395" s="2026"/>
      <c r="C395" s="2026"/>
      <c r="D395" s="2026"/>
      <c r="E395" s="2026"/>
      <c r="F395" s="2026"/>
      <c r="G395" s="2026"/>
      <c r="H395" s="2026"/>
      <c r="I395" s="2026"/>
      <c r="J395" s="2026"/>
      <c r="K395" s="2026"/>
      <c r="M395" s="2045"/>
    </row>
    <row r="396" spans="2:13">
      <c r="B396" s="2026"/>
      <c r="C396" s="2026"/>
      <c r="D396" s="2026"/>
      <c r="E396" s="2026"/>
      <c r="F396" s="2026"/>
      <c r="G396" s="2026"/>
      <c r="H396" s="2026"/>
      <c r="I396" s="2026"/>
      <c r="J396" s="2026"/>
      <c r="K396" s="2026"/>
      <c r="M396" s="2046"/>
    </row>
    <row r="397" spans="2:13">
      <c r="M397" s="1349"/>
    </row>
    <row r="398" spans="2:13" ht="15.75" customHeight="1">
      <c r="B398" s="2015" t="s">
        <v>1435</v>
      </c>
      <c r="C398" s="2015"/>
      <c r="D398" s="2015"/>
      <c r="E398" s="2015"/>
      <c r="F398" s="2015"/>
      <c r="G398" s="2015"/>
      <c r="H398" s="2015"/>
      <c r="I398" s="2015"/>
      <c r="J398" s="2015"/>
      <c r="K398" s="2015"/>
      <c r="M398" s="1349"/>
    </row>
    <row r="399" spans="2:13">
      <c r="M399" s="1349"/>
    </row>
    <row r="400" spans="2:13" ht="69" customHeight="1">
      <c r="B400" s="2025" t="s">
        <v>1436</v>
      </c>
      <c r="C400" s="2025"/>
      <c r="D400" s="2025"/>
      <c r="E400" s="2025"/>
      <c r="F400" s="2025"/>
      <c r="G400" s="2025"/>
      <c r="H400" s="2025"/>
      <c r="I400" s="2025"/>
      <c r="J400" s="2025"/>
      <c r="K400" s="2025"/>
      <c r="M400" s="1349"/>
    </row>
    <row r="401" spans="2:13">
      <c r="M401" s="1349"/>
    </row>
    <row r="402" spans="2:13" ht="15.75" customHeight="1">
      <c r="B402" s="2003" t="s">
        <v>1440</v>
      </c>
      <c r="C402" s="2003"/>
      <c r="D402" s="2003"/>
      <c r="E402" s="2003"/>
      <c r="F402" s="2003"/>
      <c r="G402" s="2003"/>
      <c r="H402" s="2003"/>
      <c r="I402" s="2003"/>
      <c r="J402" s="2003"/>
      <c r="K402" s="2003"/>
      <c r="M402" s="1349"/>
    </row>
    <row r="403" spans="2:13">
      <c r="K403" s="1910" t="s">
        <v>1437</v>
      </c>
      <c r="M403" s="1349"/>
    </row>
    <row r="404" spans="2:13" ht="23.25" customHeight="1">
      <c r="B404" s="2055" t="s">
        <v>12</v>
      </c>
      <c r="C404" s="2141" t="s">
        <v>1442</v>
      </c>
      <c r="D404" s="1900" t="str">
        <f>CONCATENATE($F$4-3," год")</f>
        <v>2021 год</v>
      </c>
      <c r="E404" s="2062" t="str">
        <f>CONCATENATE($F$4-2," год")</f>
        <v>2022 год</v>
      </c>
      <c r="F404" s="2063"/>
      <c r="G404" s="2064"/>
      <c r="H404" s="1900" t="str">
        <f>CONCATENATE($F$4-1," год")</f>
        <v>2023 год</v>
      </c>
      <c r="I404" s="2062" t="str">
        <f>CONCATENATE($F$4," год")</f>
        <v>2024 год</v>
      </c>
      <c r="J404" s="2063"/>
      <c r="K404" s="2064"/>
      <c r="M404" s="1349"/>
    </row>
    <row r="405" spans="2:13" ht="23.25" customHeight="1">
      <c r="B405" s="2055"/>
      <c r="C405" s="2141"/>
      <c r="D405" s="1918" t="s">
        <v>1287</v>
      </c>
      <c r="E405" s="1918" t="s">
        <v>1381</v>
      </c>
      <c r="F405" s="1918" t="s">
        <v>1287</v>
      </c>
      <c r="G405" s="1408" t="s">
        <v>263</v>
      </c>
      <c r="H405" s="1918" t="s">
        <v>1288</v>
      </c>
      <c r="I405" s="1918" t="s">
        <v>1330</v>
      </c>
      <c r="J405" s="1918" t="s">
        <v>1290</v>
      </c>
      <c r="K405" s="1408" t="s">
        <v>263</v>
      </c>
      <c r="M405" s="1349"/>
    </row>
    <row r="406" spans="2:13" ht="23.25" customHeight="1">
      <c r="B406" s="1929">
        <v>1</v>
      </c>
      <c r="C406" s="1367">
        <v>2</v>
      </c>
      <c r="D406" s="1367" t="s">
        <v>818</v>
      </c>
      <c r="E406" s="1367" t="s">
        <v>820</v>
      </c>
      <c r="F406" s="1367" t="s">
        <v>822</v>
      </c>
      <c r="G406" s="1367" t="s">
        <v>1550</v>
      </c>
      <c r="H406" s="1367" t="s">
        <v>832</v>
      </c>
      <c r="I406" s="1367" t="s">
        <v>833</v>
      </c>
      <c r="J406" s="1367" t="s">
        <v>407</v>
      </c>
      <c r="K406" s="1367" t="s">
        <v>1929</v>
      </c>
      <c r="M406" s="1349"/>
    </row>
    <row r="407" spans="2:13" ht="22.5">
      <c r="B407" s="1919" t="s">
        <v>234</v>
      </c>
      <c r="C407" s="1932" t="s">
        <v>1444</v>
      </c>
      <c r="D407" s="1378"/>
      <c r="E407" s="1953">
        <f>'16 (ар.+лиз. проч. им.-отч пер)'!N12</f>
        <v>0</v>
      </c>
      <c r="F407" s="1953">
        <f>'16 (ар.+лиз. проч. им.-отч пер)'!AA12</f>
        <v>0</v>
      </c>
      <c r="G407" s="1948" t="str">
        <f>IFERROR(#REF!-E407,"-")</f>
        <v>-</v>
      </c>
      <c r="H407" s="1953">
        <f>'17 (ар.+лиз. проч. им. на-план)'!M10</f>
        <v>0</v>
      </c>
      <c r="I407" s="1953">
        <f>'17 (ар.+лиз. проч. им. на-план)'!N10</f>
        <v>0</v>
      </c>
      <c r="J407" s="1953">
        <f>'17 (ар.+лиз. проч. им. на-план)'!U10</f>
        <v>0</v>
      </c>
      <c r="K407" s="1948">
        <f t="shared" ref="K407:K413" si="9">IFERROR(J407-I407,"-")</f>
        <v>0</v>
      </c>
      <c r="M407" s="1349"/>
    </row>
    <row r="408" spans="2:13">
      <c r="B408" s="1919" t="s">
        <v>237</v>
      </c>
      <c r="C408" s="1932" t="s">
        <v>1445</v>
      </c>
      <c r="D408" s="1378"/>
      <c r="E408" s="1953">
        <f>'12 (аренда ЭСХ-отч пер)'!T22</f>
        <v>0</v>
      </c>
      <c r="F408" s="1953">
        <f>'12 (аренда ЭСХ-отч пер)'!AH22</f>
        <v>0</v>
      </c>
      <c r="G408" s="1948" t="str">
        <f>IFERROR(#REF!-E408,"-")</f>
        <v>-</v>
      </c>
      <c r="H408" s="1953">
        <f>'13 (аренда ЭСХ-план) '!S22</f>
        <v>0</v>
      </c>
      <c r="I408" s="1953">
        <f>'13 (аренда ЭСХ-план) '!T22</f>
        <v>0</v>
      </c>
      <c r="J408" s="1953">
        <f>'13 (аренда ЭСХ-план) '!AG22</f>
        <v>0</v>
      </c>
      <c r="K408" s="1948">
        <f t="shared" si="9"/>
        <v>0</v>
      </c>
      <c r="M408" s="1349"/>
    </row>
    <row r="409" spans="2:13">
      <c r="B409" s="1919" t="s">
        <v>239</v>
      </c>
      <c r="C409" s="1932" t="s">
        <v>1446</v>
      </c>
      <c r="D409" s="1378"/>
      <c r="E409" s="1378"/>
      <c r="F409" s="1378"/>
      <c r="G409" s="1948" t="str">
        <f>IFERROR(#REF!-E409,"-")</f>
        <v>-</v>
      </c>
      <c r="H409" s="1378"/>
      <c r="I409" s="1378"/>
      <c r="J409" s="1378"/>
      <c r="K409" s="1948">
        <f t="shared" si="9"/>
        <v>0</v>
      </c>
      <c r="M409" s="1349"/>
    </row>
    <row r="410" spans="2:13">
      <c r="B410" s="1919" t="s">
        <v>242</v>
      </c>
      <c r="C410" s="1932" t="s">
        <v>1447</v>
      </c>
      <c r="D410" s="1378"/>
      <c r="E410" s="1953">
        <f>'16 (ар.+лиз. проч. им.-отч пер)'!N21</f>
        <v>0</v>
      </c>
      <c r="F410" s="1953">
        <f>'16 (ар.+лиз. проч. им.-отч пер)'!AA21</f>
        <v>0</v>
      </c>
      <c r="G410" s="1948" t="str">
        <f>IFERROR(#REF!-E410,"-")</f>
        <v>-</v>
      </c>
      <c r="H410" s="1953">
        <f>'17 (ар.+лиз. проч. им. на-план)'!M19</f>
        <v>0</v>
      </c>
      <c r="I410" s="1953">
        <f>'17 (ар.+лиз. проч. им. на-план)'!N19</f>
        <v>0</v>
      </c>
      <c r="J410" s="1953">
        <f>'17 (ар.+лиз. проч. им. на-план)'!U19</f>
        <v>0</v>
      </c>
      <c r="K410" s="1948">
        <f t="shared" si="9"/>
        <v>0</v>
      </c>
      <c r="M410" s="1349"/>
    </row>
    <row r="411" spans="2:13">
      <c r="B411" s="1919" t="s">
        <v>899</v>
      </c>
      <c r="C411" s="1932" t="s">
        <v>1448</v>
      </c>
      <c r="D411" s="1378"/>
      <c r="E411" s="1953">
        <f>'16 (ар.+лиз. проч. им.-отч пер)'!N25</f>
        <v>0</v>
      </c>
      <c r="F411" s="1953">
        <f>'16 (ар.+лиз. проч. им.-отч пер)'!AA25</f>
        <v>0</v>
      </c>
      <c r="G411" s="1948" t="str">
        <f>IFERROR(#REF!-E411,"-")</f>
        <v>-</v>
      </c>
      <c r="H411" s="1953">
        <f>'17 (ар.+лиз. проч. им. на-план)'!M23</f>
        <v>0</v>
      </c>
      <c r="I411" s="1953">
        <f>'17 (ар.+лиз. проч. им. на-план)'!N23</f>
        <v>0</v>
      </c>
      <c r="J411" s="1953">
        <f>'17 (ар.+лиз. проч. им. на-план)'!U23</f>
        <v>0</v>
      </c>
      <c r="K411" s="1948">
        <f t="shared" si="9"/>
        <v>0</v>
      </c>
      <c r="M411" s="1349"/>
    </row>
    <row r="412" spans="2:13">
      <c r="B412" s="1919" t="s">
        <v>860</v>
      </c>
      <c r="C412" s="1932" t="s">
        <v>1449</v>
      </c>
      <c r="D412" s="1378"/>
      <c r="E412" s="1953">
        <f>'16 (ар.+лиз. проч. им.-отч пер)'!O57</f>
        <v>0</v>
      </c>
      <c r="F412" s="1953">
        <f>'16 (ар.+лиз. проч. им.-отч пер)'!Q57</f>
        <v>0</v>
      </c>
      <c r="G412" s="1948" t="str">
        <f>IFERROR(#REF!-E412,"-")</f>
        <v>-</v>
      </c>
      <c r="H412" s="1953">
        <f>'17 (ар.+лиз. проч. им. на-план)'!N56</f>
        <v>0</v>
      </c>
      <c r="I412" s="1953">
        <f>'17 (ар.+лиз. проч. им. на-план)'!O56</f>
        <v>0</v>
      </c>
      <c r="J412" s="1953">
        <f>'17 (ар.+лиз. проч. им. на-план)'!P56</f>
        <v>0</v>
      </c>
      <c r="K412" s="1948">
        <f t="shared" si="9"/>
        <v>0</v>
      </c>
      <c r="M412" s="1349"/>
    </row>
    <row r="413" spans="2:13">
      <c r="B413" s="1918" t="s">
        <v>862</v>
      </c>
      <c r="C413" s="1407" t="s">
        <v>1439</v>
      </c>
      <c r="D413" s="1952">
        <f>SUM(D407:D412)</f>
        <v>0</v>
      </c>
      <c r="E413" s="1952">
        <f>SUM(E407:E412)</f>
        <v>0</v>
      </c>
      <c r="F413" s="1952">
        <f>SUM(F407:F412)</f>
        <v>0</v>
      </c>
      <c r="G413" s="1952" t="str">
        <f>IFERROR(#REF!-E413,"-")</f>
        <v>-</v>
      </c>
      <c r="H413" s="1952">
        <f>SUM(H407:H412)</f>
        <v>0</v>
      </c>
      <c r="I413" s="1952">
        <f>SUM(I407:I412)</f>
        <v>0</v>
      </c>
      <c r="J413" s="1952">
        <f>SUM(J407:J412)</f>
        <v>0</v>
      </c>
      <c r="K413" s="1952">
        <f t="shared" si="9"/>
        <v>0</v>
      </c>
      <c r="M413" s="1349"/>
    </row>
    <row r="414" spans="2:13">
      <c r="M414" s="1349"/>
    </row>
    <row r="415" spans="2:13">
      <c r="B415" s="2025" t="str">
        <f>CONCATENATE("Фактические расходы по арендной плате и лизингу за ",$F$4-2," год согласованы экспертами на уровне ",F413," тыс. руб. исходя из следующего:")</f>
        <v>Фактические расходы по арендной плате и лизингу за 2022 год согласованы экспертами на уровне 0 тыс. руб. исходя из следующего:</v>
      </c>
      <c r="C415" s="2025"/>
      <c r="D415" s="2025"/>
      <c r="E415" s="2025"/>
      <c r="F415" s="2025"/>
      <c r="G415" s="2025"/>
      <c r="H415" s="2025"/>
      <c r="I415" s="2025"/>
      <c r="J415" s="2025"/>
      <c r="K415" s="2025"/>
      <c r="M415" s="1349"/>
    </row>
    <row r="416" spans="2:13">
      <c r="B416" s="2026"/>
      <c r="C416" s="2026"/>
      <c r="D416" s="2026"/>
      <c r="E416" s="2026"/>
      <c r="F416" s="2026"/>
      <c r="G416" s="2026"/>
      <c r="H416" s="2026"/>
      <c r="I416" s="2026"/>
      <c r="J416" s="2026"/>
      <c r="K416" s="2026"/>
      <c r="M416" s="2044" t="s">
        <v>1412</v>
      </c>
    </row>
    <row r="417" spans="2:13">
      <c r="B417" s="2026"/>
      <c r="C417" s="2026"/>
      <c r="D417" s="2026"/>
      <c r="E417" s="2026"/>
      <c r="F417" s="2026"/>
      <c r="G417" s="2026"/>
      <c r="H417" s="2026"/>
      <c r="I417" s="2026"/>
      <c r="J417" s="2026"/>
      <c r="K417" s="2026"/>
      <c r="M417" s="2045"/>
    </row>
    <row r="418" spans="2:13">
      <c r="B418" s="2026"/>
      <c r="C418" s="2026"/>
      <c r="D418" s="2026"/>
      <c r="E418" s="2026"/>
      <c r="F418" s="2026"/>
      <c r="G418" s="2026"/>
      <c r="H418" s="2026"/>
      <c r="I418" s="2026"/>
      <c r="J418" s="2026"/>
      <c r="K418" s="2026"/>
      <c r="M418" s="2046"/>
    </row>
    <row r="419" spans="2:13">
      <c r="B419" s="2025" t="str">
        <f>CONCATENATE("При прогнозировании расходов по арендной плате и лизингу на ",$F$4," год «Регулятор» руководствовался:")</f>
        <v>При прогнозировании расходов по арендной плате и лизингу на 2024 год «Регулятор» руководствовался:</v>
      </c>
      <c r="C419" s="2025"/>
      <c r="D419" s="2025"/>
      <c r="E419" s="2025"/>
      <c r="F419" s="2025"/>
      <c r="G419" s="2025"/>
      <c r="H419" s="2025"/>
      <c r="I419" s="2025"/>
      <c r="J419" s="2025"/>
      <c r="K419" s="2025"/>
      <c r="M419" s="1349"/>
    </row>
    <row r="420" spans="2:13">
      <c r="B420" s="2026"/>
      <c r="C420" s="2026"/>
      <c r="D420" s="2026"/>
      <c r="E420" s="2026"/>
      <c r="F420" s="2026"/>
      <c r="G420" s="2026"/>
      <c r="H420" s="2026"/>
      <c r="I420" s="2026"/>
      <c r="J420" s="2026"/>
      <c r="K420" s="2026"/>
      <c r="M420" s="2044" t="s">
        <v>1450</v>
      </c>
    </row>
    <row r="421" spans="2:13">
      <c r="B421" s="2026"/>
      <c r="C421" s="2026"/>
      <c r="D421" s="2026"/>
      <c r="E421" s="2026"/>
      <c r="F421" s="2026"/>
      <c r="G421" s="2026"/>
      <c r="H421" s="2026"/>
      <c r="I421" s="2026"/>
      <c r="J421" s="2026"/>
      <c r="K421" s="2026"/>
      <c r="M421" s="2045"/>
    </row>
    <row r="422" spans="2:13">
      <c r="B422" s="2026"/>
      <c r="C422" s="2026"/>
      <c r="D422" s="2026"/>
      <c r="E422" s="2026"/>
      <c r="F422" s="2026"/>
      <c r="G422" s="2026"/>
      <c r="H422" s="2026"/>
      <c r="I422" s="2026"/>
      <c r="J422" s="2026"/>
      <c r="K422" s="2026"/>
      <c r="M422" s="2046"/>
    </row>
    <row r="423" spans="2:13">
      <c r="B423" s="2025" t="str">
        <f>CONCATENATE("Корректировка предложения «Организации» на ",$F$4," год составила ",K413,"   тыс. руб. на основании:")</f>
        <v>Корректировка предложения «Организации» на 2024 год составила 0   тыс. руб. на основании:</v>
      </c>
      <c r="C423" s="2025"/>
      <c r="D423" s="2025"/>
      <c r="E423" s="2025"/>
      <c r="F423" s="2025"/>
      <c r="G423" s="2025"/>
      <c r="H423" s="2025"/>
      <c r="I423" s="2025"/>
      <c r="J423" s="2025"/>
      <c r="K423" s="2025"/>
      <c r="M423" s="1349"/>
    </row>
    <row r="424" spans="2:13">
      <c r="B424" s="2026"/>
      <c r="C424" s="2026"/>
      <c r="D424" s="2026"/>
      <c r="E424" s="2026"/>
      <c r="F424" s="2026"/>
      <c r="G424" s="2026"/>
      <c r="H424" s="2026"/>
      <c r="I424" s="2026"/>
      <c r="J424" s="2026"/>
      <c r="K424" s="2026"/>
      <c r="M424" s="2044" t="s">
        <v>1412</v>
      </c>
    </row>
    <row r="425" spans="2:13">
      <c r="B425" s="2026"/>
      <c r="C425" s="2026"/>
      <c r="D425" s="2026"/>
      <c r="E425" s="2026"/>
      <c r="F425" s="2026"/>
      <c r="G425" s="2026"/>
      <c r="H425" s="2026"/>
      <c r="I425" s="2026"/>
      <c r="J425" s="2026"/>
      <c r="K425" s="2026"/>
      <c r="M425" s="2045"/>
    </row>
    <row r="426" spans="2:13">
      <c r="B426" s="2026"/>
      <c r="C426" s="2026"/>
      <c r="D426" s="2026"/>
      <c r="E426" s="2026"/>
      <c r="F426" s="2026"/>
      <c r="G426" s="2026"/>
      <c r="H426" s="2026"/>
      <c r="I426" s="2026"/>
      <c r="J426" s="2026"/>
      <c r="K426" s="2026"/>
      <c r="M426" s="2046"/>
    </row>
    <row r="427" spans="2:13">
      <c r="M427" s="1349"/>
    </row>
    <row r="428" spans="2:13" ht="15.75" customHeight="1">
      <c r="B428" s="2015" t="s">
        <v>1451</v>
      </c>
      <c r="C428" s="2015"/>
      <c r="D428" s="2015"/>
      <c r="E428" s="2015"/>
      <c r="F428" s="2015"/>
      <c r="G428" s="2015"/>
      <c r="H428" s="2015"/>
      <c r="I428" s="2015"/>
      <c r="J428" s="2015"/>
      <c r="K428" s="2015"/>
      <c r="M428" s="1349"/>
    </row>
    <row r="429" spans="2:13">
      <c r="M429" s="1349"/>
    </row>
    <row r="430" spans="2:13" ht="15.75" customHeight="1">
      <c r="B430" s="2003" t="s">
        <v>1452</v>
      </c>
      <c r="C430" s="2003"/>
      <c r="D430" s="2003"/>
      <c r="E430" s="2003"/>
      <c r="F430" s="2003"/>
      <c r="G430" s="2003"/>
      <c r="H430" s="2003"/>
      <c r="I430" s="2003"/>
      <c r="J430" s="2003"/>
      <c r="K430" s="2003"/>
      <c r="M430" s="1349"/>
    </row>
    <row r="431" spans="2:13">
      <c r="K431" s="1910" t="s">
        <v>1441</v>
      </c>
      <c r="M431" s="1349"/>
    </row>
    <row r="432" spans="2:13" ht="36.75" customHeight="1">
      <c r="B432" s="2055" t="s">
        <v>12</v>
      </c>
      <c r="C432" s="2141" t="s">
        <v>1442</v>
      </c>
      <c r="D432" s="1900" t="str">
        <f>CONCATENATE($F$4-3," год")</f>
        <v>2021 год</v>
      </c>
      <c r="E432" s="2062" t="str">
        <f>CONCATENATE($F$4-2," год")</f>
        <v>2022 год</v>
      </c>
      <c r="F432" s="2063"/>
      <c r="G432" s="2064"/>
      <c r="H432" s="1900" t="str">
        <f>CONCATENATE($F$4-1," год")</f>
        <v>2023 год</v>
      </c>
      <c r="I432" s="2062" t="str">
        <f>CONCATENATE($F$4," год")</f>
        <v>2024 год</v>
      </c>
      <c r="J432" s="2063"/>
      <c r="K432" s="2064"/>
      <c r="M432" s="1349"/>
    </row>
    <row r="433" spans="2:13" ht="22.5">
      <c r="B433" s="2055"/>
      <c r="C433" s="2141"/>
      <c r="D433" s="1918" t="s">
        <v>1287</v>
      </c>
      <c r="E433" s="1918" t="s">
        <v>1381</v>
      </c>
      <c r="F433" s="1918" t="s">
        <v>1287</v>
      </c>
      <c r="G433" s="1408" t="s">
        <v>263</v>
      </c>
      <c r="H433" s="1918" t="s">
        <v>1288</v>
      </c>
      <c r="I433" s="1918" t="s">
        <v>1330</v>
      </c>
      <c r="J433" s="1918" t="s">
        <v>1290</v>
      </c>
      <c r="K433" s="1408" t="s">
        <v>263</v>
      </c>
      <c r="M433" s="1349"/>
    </row>
    <row r="434" spans="2:13">
      <c r="B434" s="1929">
        <v>1</v>
      </c>
      <c r="C434" s="1367">
        <v>2</v>
      </c>
      <c r="D434" s="1367" t="s">
        <v>818</v>
      </c>
      <c r="E434" s="1367" t="s">
        <v>820</v>
      </c>
      <c r="F434" s="1367" t="s">
        <v>822</v>
      </c>
      <c r="G434" s="1367" t="s">
        <v>1550</v>
      </c>
      <c r="H434" s="1367" t="s">
        <v>832</v>
      </c>
      <c r="I434" s="1367" t="s">
        <v>833</v>
      </c>
      <c r="J434" s="1367" t="s">
        <v>407</v>
      </c>
      <c r="K434" s="1367" t="s">
        <v>1929</v>
      </c>
      <c r="M434" s="1349"/>
    </row>
    <row r="435" spans="2:13">
      <c r="B435" s="1919" t="s">
        <v>234</v>
      </c>
      <c r="C435" s="1409" t="s">
        <v>1454</v>
      </c>
      <c r="D435" s="1364"/>
      <c r="E435" s="1951">
        <f>'24 (прибыль)'!E34</f>
        <v>0</v>
      </c>
      <c r="F435" s="1951">
        <f>'24 (прибыль)'!I34</f>
        <v>0</v>
      </c>
      <c r="G435" s="1948" t="str">
        <f>IFERROR(#REF!-E435,"-")</f>
        <v>-</v>
      </c>
      <c r="H435" s="1951">
        <f>'24 (прибыль)'!F34</f>
        <v>0</v>
      </c>
      <c r="I435" s="1951">
        <f>'24 (прибыль)'!G34</f>
        <v>0</v>
      </c>
      <c r="J435" s="1951">
        <f>'24 (прибыль)'!J34</f>
        <v>0</v>
      </c>
      <c r="K435" s="1948">
        <f t="shared" ref="K435:K440" si="10">IFERROR(J435-I435,"-")</f>
        <v>0</v>
      </c>
      <c r="M435" s="1349"/>
    </row>
    <row r="436" spans="2:13">
      <c r="B436" s="1919" t="s">
        <v>237</v>
      </c>
      <c r="C436" s="1409" t="s">
        <v>1455</v>
      </c>
      <c r="D436" s="1364"/>
      <c r="E436" s="1951">
        <f>'20 (аморт-отч пер)'!AH64</f>
        <v>0</v>
      </c>
      <c r="F436" s="1951">
        <f>'20 (аморт-отч пер)'!AO64</f>
        <v>0</v>
      </c>
      <c r="G436" s="1948" t="str">
        <f>IFERROR(#REF!-E436,"-")</f>
        <v>-</v>
      </c>
      <c r="H436" s="1951">
        <f>'20 (аморт-отч пер)'!AJ64</f>
        <v>0</v>
      </c>
      <c r="I436" s="1951">
        <f>'21 (аморт-план)'!Y64</f>
        <v>0</v>
      </c>
      <c r="J436" s="1951">
        <f>'21 (аморт-план)'!AH64</f>
        <v>0</v>
      </c>
      <c r="K436" s="1948">
        <f t="shared" si="10"/>
        <v>0</v>
      </c>
      <c r="M436" s="1349"/>
    </row>
    <row r="437" spans="2:13">
      <c r="B437" s="1919" t="s">
        <v>239</v>
      </c>
      <c r="C437" s="1409" t="s">
        <v>1456</v>
      </c>
      <c r="D437" s="1951">
        <f>SUM(D438:D440)</f>
        <v>0</v>
      </c>
      <c r="E437" s="1951">
        <f>SUM(E438:E440)</f>
        <v>0</v>
      </c>
      <c r="F437" s="1951">
        <f>SUM(F438:F440)</f>
        <v>0</v>
      </c>
      <c r="G437" s="1948" t="str">
        <f>IFERROR(#REF!-E437,"-")</f>
        <v>-</v>
      </c>
      <c r="H437" s="1951">
        <f>SUM(H438:H440)</f>
        <v>0</v>
      </c>
      <c r="I437" s="1951">
        <f>SUM(I438:I440)</f>
        <v>0</v>
      </c>
      <c r="J437" s="1951">
        <f>SUM(J438:J440)</f>
        <v>0</v>
      </c>
      <c r="K437" s="1948">
        <f t="shared" si="10"/>
        <v>0</v>
      </c>
      <c r="M437" s="1349"/>
    </row>
    <row r="438" spans="2:13">
      <c r="B438" s="1919" t="s">
        <v>455</v>
      </c>
      <c r="C438" s="1410" t="s">
        <v>1457</v>
      </c>
      <c r="D438" s="1364"/>
      <c r="E438" s="1951">
        <f>'24 (прибыль)'!E35</f>
        <v>0</v>
      </c>
      <c r="F438" s="1951">
        <f>'24 (прибыль)'!I35</f>
        <v>0</v>
      </c>
      <c r="G438" s="1948" t="str">
        <f>IFERROR(#REF!-E438,"-")</f>
        <v>-</v>
      </c>
      <c r="H438" s="1951">
        <f>'24 (прибыль)'!F35</f>
        <v>0</v>
      </c>
      <c r="I438" s="1951">
        <f>'24 (прибыль)'!G35</f>
        <v>0</v>
      </c>
      <c r="J438" s="1951">
        <f>'24 (прибыль)'!J35</f>
        <v>0</v>
      </c>
      <c r="K438" s="1948">
        <f t="shared" si="10"/>
        <v>0</v>
      </c>
      <c r="M438" s="1349"/>
    </row>
    <row r="439" spans="2:13">
      <c r="B439" s="1919" t="s">
        <v>464</v>
      </c>
      <c r="C439" s="1410" t="s">
        <v>1458</v>
      </c>
      <c r="D439" s="1364"/>
      <c r="E439" s="1364"/>
      <c r="F439" s="1364"/>
      <c r="G439" s="1948" t="str">
        <f>IFERROR(#REF!-E439,"-")</f>
        <v>-</v>
      </c>
      <c r="H439" s="1364"/>
      <c r="I439" s="1364"/>
      <c r="J439" s="1364"/>
      <c r="K439" s="1948">
        <f t="shared" si="10"/>
        <v>0</v>
      </c>
      <c r="M439" s="1349"/>
    </row>
    <row r="440" spans="2:13">
      <c r="B440" s="1919" t="s">
        <v>1385</v>
      </c>
      <c r="C440" s="1410" t="s">
        <v>1459</v>
      </c>
      <c r="D440" s="1364"/>
      <c r="E440" s="1364"/>
      <c r="F440" s="1364"/>
      <c r="G440" s="1948" t="str">
        <f>IFERROR(#REF!-E440,"-")</f>
        <v>-</v>
      </c>
      <c r="H440" s="1364"/>
      <c r="I440" s="1364"/>
      <c r="J440" s="1364"/>
      <c r="K440" s="1948">
        <f t="shared" si="10"/>
        <v>0</v>
      </c>
      <c r="M440" s="1349"/>
    </row>
    <row r="441" spans="2:13">
      <c r="B441" s="1918" t="s">
        <v>242</v>
      </c>
      <c r="C441" s="1407" t="s">
        <v>1460</v>
      </c>
      <c r="D441" s="1950">
        <f>SUM(D435:D437)</f>
        <v>0</v>
      </c>
      <c r="E441" s="1950">
        <f>SUM(E435:E437)</f>
        <v>0</v>
      </c>
      <c r="F441" s="1950">
        <f>SUM(F435:F437)</f>
        <v>0</v>
      </c>
      <c r="G441" s="1950">
        <f>SUM(G435:G440)</f>
        <v>0</v>
      </c>
      <c r="H441" s="1950">
        <f>SUM(H435:H437)</f>
        <v>0</v>
      </c>
      <c r="I441" s="1950">
        <f>SUM(I435:I437)</f>
        <v>0</v>
      </c>
      <c r="J441" s="1950">
        <f>SUM(J435:J437)</f>
        <v>0</v>
      </c>
      <c r="K441" s="1950">
        <f>SUM(K435:K440)</f>
        <v>0</v>
      </c>
      <c r="M441" s="1349"/>
    </row>
    <row r="442" spans="2:13">
      <c r="M442" s="1349"/>
    </row>
    <row r="443" spans="2:13">
      <c r="B443" s="2025" t="str">
        <f>CONCATENATE("Фактические расходы по налогам за ",$F$4-2," год согласованы экспертами на уровне ",F441," тыс. руб. исходя из следующего:")</f>
        <v>Фактические расходы по налогам за 2022 год согласованы экспертами на уровне 0 тыс. руб. исходя из следующего:</v>
      </c>
      <c r="C443" s="2025"/>
      <c r="D443" s="2025"/>
      <c r="E443" s="2025"/>
      <c r="F443" s="2025"/>
      <c r="G443" s="2025"/>
      <c r="H443" s="2025"/>
      <c r="I443" s="2025"/>
      <c r="J443" s="2025"/>
      <c r="K443" s="2025"/>
      <c r="M443" s="1349"/>
    </row>
    <row r="444" spans="2:13">
      <c r="B444" s="2026"/>
      <c r="C444" s="2026"/>
      <c r="D444" s="2026"/>
      <c r="E444" s="2026"/>
      <c r="F444" s="2026"/>
      <c r="G444" s="2026"/>
      <c r="H444" s="2026"/>
      <c r="I444" s="2026"/>
      <c r="J444" s="2026"/>
      <c r="K444" s="2026"/>
      <c r="M444" s="2044" t="s">
        <v>1412</v>
      </c>
    </row>
    <row r="445" spans="2:13">
      <c r="B445" s="2026"/>
      <c r="C445" s="2026"/>
      <c r="D445" s="2026"/>
      <c r="E445" s="2026"/>
      <c r="F445" s="2026"/>
      <c r="G445" s="2026"/>
      <c r="H445" s="2026"/>
      <c r="I445" s="2026"/>
      <c r="J445" s="2026"/>
      <c r="K445" s="2026"/>
      <c r="M445" s="2045"/>
    </row>
    <row r="446" spans="2:13">
      <c r="B446" s="2026"/>
      <c r="C446" s="2026"/>
      <c r="D446" s="2026"/>
      <c r="E446" s="2026"/>
      <c r="F446" s="2026"/>
      <c r="G446" s="2026"/>
      <c r="H446" s="2026"/>
      <c r="I446" s="2026"/>
      <c r="J446" s="2026"/>
      <c r="K446" s="2026"/>
      <c r="M446" s="2046"/>
    </row>
    <row r="447" spans="2:13">
      <c r="B447" s="2025" t="str">
        <f>CONCATENATE("При прогнозировании расходов по налогам на ",$F$4," год «Регулятор» руководствовался:")</f>
        <v>При прогнозировании расходов по налогам на 2024 год «Регулятор» руководствовался:</v>
      </c>
      <c r="C447" s="2025"/>
      <c r="D447" s="2025"/>
      <c r="E447" s="2025"/>
      <c r="F447" s="2025"/>
      <c r="G447" s="2025"/>
      <c r="H447" s="2025"/>
      <c r="I447" s="2025"/>
      <c r="J447" s="2025"/>
      <c r="K447" s="2025"/>
      <c r="M447" s="1349"/>
    </row>
    <row r="448" spans="2:13">
      <c r="B448" s="2026"/>
      <c r="C448" s="2026"/>
      <c r="D448" s="2026"/>
      <c r="E448" s="2026"/>
      <c r="F448" s="2026"/>
      <c r="G448" s="2026"/>
      <c r="H448" s="2026"/>
      <c r="I448" s="2026"/>
      <c r="J448" s="2026"/>
      <c r="K448" s="2026"/>
      <c r="M448" s="2044" t="s">
        <v>1461</v>
      </c>
    </row>
    <row r="449" spans="2:13">
      <c r="B449" s="2026"/>
      <c r="C449" s="2026"/>
      <c r="D449" s="2026"/>
      <c r="E449" s="2026"/>
      <c r="F449" s="2026"/>
      <c r="G449" s="2026"/>
      <c r="H449" s="2026"/>
      <c r="I449" s="2026"/>
      <c r="J449" s="2026"/>
      <c r="K449" s="2026"/>
      <c r="M449" s="2045"/>
    </row>
    <row r="450" spans="2:13">
      <c r="B450" s="2026"/>
      <c r="C450" s="2026"/>
      <c r="D450" s="2026"/>
      <c r="E450" s="2026"/>
      <c r="F450" s="2026"/>
      <c r="G450" s="2026"/>
      <c r="H450" s="2026"/>
      <c r="I450" s="2026"/>
      <c r="J450" s="2026"/>
      <c r="K450" s="2026"/>
      <c r="M450" s="2046"/>
    </row>
    <row r="451" spans="2:13">
      <c r="B451" s="2025" t="str">
        <f>CONCATENATE("Корректировка предложения «Организации» на ",$F$4," год составила ",K441,"   тыс. руб. на основании:")</f>
        <v>Корректировка предложения «Организации» на 2024 год составила 0   тыс. руб. на основании:</v>
      </c>
      <c r="C451" s="2025"/>
      <c r="D451" s="2025"/>
      <c r="E451" s="2025"/>
      <c r="F451" s="2025"/>
      <c r="G451" s="2025"/>
      <c r="H451" s="2025"/>
      <c r="I451" s="2025"/>
      <c r="J451" s="2025"/>
      <c r="K451" s="2025"/>
      <c r="M451" s="1349"/>
    </row>
    <row r="452" spans="2:13">
      <c r="B452" s="2026"/>
      <c r="C452" s="2026"/>
      <c r="D452" s="2026"/>
      <c r="E452" s="2026"/>
      <c r="F452" s="2026"/>
      <c r="G452" s="2026"/>
      <c r="H452" s="2026"/>
      <c r="I452" s="2026"/>
      <c r="J452" s="2026"/>
      <c r="K452" s="2026"/>
      <c r="M452" s="2044" t="s">
        <v>1412</v>
      </c>
    </row>
    <row r="453" spans="2:13">
      <c r="B453" s="2026"/>
      <c r="C453" s="2026"/>
      <c r="D453" s="2026"/>
      <c r="E453" s="2026"/>
      <c r="F453" s="2026"/>
      <c r="G453" s="2026"/>
      <c r="H453" s="2026"/>
      <c r="I453" s="2026"/>
      <c r="J453" s="2026"/>
      <c r="K453" s="2026"/>
      <c r="M453" s="2045"/>
    </row>
    <row r="454" spans="2:13">
      <c r="B454" s="2026"/>
      <c r="C454" s="2026"/>
      <c r="D454" s="2026"/>
      <c r="E454" s="2026"/>
      <c r="F454" s="2026"/>
      <c r="G454" s="2026"/>
      <c r="H454" s="2026"/>
      <c r="I454" s="2026"/>
      <c r="J454" s="2026"/>
      <c r="K454" s="2026"/>
      <c r="M454" s="2046"/>
    </row>
    <row r="455" spans="2:13">
      <c r="M455" s="1349"/>
    </row>
    <row r="456" spans="2:13" ht="15.75" customHeight="1">
      <c r="B456" s="2015" t="s">
        <v>1462</v>
      </c>
      <c r="C456" s="2015"/>
      <c r="D456" s="2015"/>
      <c r="E456" s="2015"/>
      <c r="F456" s="2015"/>
      <c r="G456" s="2015"/>
      <c r="H456" s="2015"/>
      <c r="I456" s="2015"/>
      <c r="J456" s="2015"/>
      <c r="K456" s="2015"/>
      <c r="M456" s="1349"/>
    </row>
    <row r="457" spans="2:13">
      <c r="M457" s="1349"/>
    </row>
    <row r="458" spans="2:13" ht="15.75">
      <c r="B458" s="2003" t="s">
        <v>1347</v>
      </c>
      <c r="C458" s="2003"/>
      <c r="D458" s="2003"/>
      <c r="E458" s="2003"/>
      <c r="F458" s="2003"/>
      <c r="G458" s="2003"/>
      <c r="H458" s="2003"/>
      <c r="I458" s="2003"/>
      <c r="J458" s="2003"/>
      <c r="K458" s="2003"/>
      <c r="M458" s="1349"/>
    </row>
    <row r="459" spans="2:13">
      <c r="K459" s="1910" t="s">
        <v>1453</v>
      </c>
      <c r="M459" s="1349"/>
    </row>
    <row r="460" spans="2:13" ht="25.5" customHeight="1">
      <c r="B460" s="2123" t="s">
        <v>12</v>
      </c>
      <c r="C460" s="2123" t="s">
        <v>1464</v>
      </c>
      <c r="D460" s="2123" t="s">
        <v>246</v>
      </c>
      <c r="E460" s="1900" t="str">
        <f>CONCATENATE($F$4-3," год")</f>
        <v>2021 год</v>
      </c>
      <c r="F460" s="2048" t="str">
        <f>CONCATENATE($F$4-2," год")</f>
        <v>2022 год</v>
      </c>
      <c r="G460" s="2048"/>
      <c r="H460" s="1900" t="str">
        <f>CONCATENATE($F$4-1," год")</f>
        <v>2023 год</v>
      </c>
      <c r="I460" s="2048" t="str">
        <f>CONCATENATE($F$4," год")</f>
        <v>2024 год</v>
      </c>
      <c r="J460" s="2048"/>
      <c r="K460" s="2048"/>
      <c r="M460" s="1349"/>
    </row>
    <row r="461" spans="2:13" ht="25.5" customHeight="1">
      <c r="B461" s="2123"/>
      <c r="C461" s="2123"/>
      <c r="D461" s="2123"/>
      <c r="E461" s="1918" t="s">
        <v>1287</v>
      </c>
      <c r="F461" s="1918" t="s">
        <v>1381</v>
      </c>
      <c r="G461" s="1918" t="s">
        <v>1287</v>
      </c>
      <c r="H461" s="1918" t="s">
        <v>1288</v>
      </c>
      <c r="I461" s="1918" t="s">
        <v>1330</v>
      </c>
      <c r="J461" s="1918" t="s">
        <v>1290</v>
      </c>
      <c r="K461" s="1408" t="s">
        <v>263</v>
      </c>
      <c r="M461" s="1349"/>
    </row>
    <row r="462" spans="2:13" ht="25.5" customHeight="1">
      <c r="B462" s="1929">
        <v>1</v>
      </c>
      <c r="C462" s="1367">
        <v>2</v>
      </c>
      <c r="D462" s="1367" t="s">
        <v>818</v>
      </c>
      <c r="E462" s="1367" t="s">
        <v>820</v>
      </c>
      <c r="F462" s="1367" t="s">
        <v>822</v>
      </c>
      <c r="G462" s="1367" t="s">
        <v>1550</v>
      </c>
      <c r="H462" s="1367" t="s">
        <v>832</v>
      </c>
      <c r="I462" s="1367" t="s">
        <v>833</v>
      </c>
      <c r="J462" s="1367" t="s">
        <v>407</v>
      </c>
      <c r="K462" s="1367" t="s">
        <v>1929</v>
      </c>
      <c r="M462" s="1349"/>
    </row>
    <row r="463" spans="2:13">
      <c r="B463" s="1918" t="s">
        <v>234</v>
      </c>
      <c r="C463" s="1386" t="s">
        <v>1347</v>
      </c>
      <c r="D463" s="1924" t="s">
        <v>226</v>
      </c>
      <c r="E463" s="1361"/>
      <c r="F463" s="1361"/>
      <c r="G463" s="1361"/>
      <c r="H463" s="1361"/>
      <c r="I463" s="1385"/>
      <c r="J463" s="1385"/>
      <c r="K463" s="1948">
        <f>IFERROR(J463-I463,"-")</f>
        <v>0</v>
      </c>
      <c r="M463" s="1349"/>
    </row>
    <row r="464" spans="2:13">
      <c r="B464" s="2078" t="s">
        <v>1465</v>
      </c>
      <c r="C464" s="2078"/>
      <c r="D464" s="2078"/>
      <c r="E464" s="2078"/>
      <c r="F464" s="2078"/>
      <c r="G464" s="2078"/>
      <c r="H464" s="2078"/>
      <c r="I464" s="2078"/>
      <c r="J464" s="2078"/>
      <c r="K464" s="2078"/>
      <c r="M464" s="1349"/>
    </row>
    <row r="465" spans="2:13">
      <c r="B465" s="2142" t="s">
        <v>1466</v>
      </c>
      <c r="C465" s="2142"/>
      <c r="D465" s="1368" t="s">
        <v>226</v>
      </c>
      <c r="E465" s="1377"/>
      <c r="F465" s="1377"/>
      <c r="G465" s="1377"/>
      <c r="H465" s="1377"/>
      <c r="I465" s="1377"/>
      <c r="J465" s="1377"/>
      <c r="K465" s="1948">
        <f>IFERROR(J465-I465,"-")</f>
        <v>0</v>
      </c>
      <c r="M465" s="1349"/>
    </row>
    <row r="466" spans="2:13">
      <c r="B466" s="2142" t="s">
        <v>1467</v>
      </c>
      <c r="C466" s="2142"/>
      <c r="D466" s="1919" t="s">
        <v>268</v>
      </c>
      <c r="E466" s="1949" t="e">
        <f t="shared" ref="E466:J466" si="11">E463/E465</f>
        <v>#DIV/0!</v>
      </c>
      <c r="F466" s="1949" t="e">
        <f t="shared" si="11"/>
        <v>#DIV/0!</v>
      </c>
      <c r="G466" s="1949" t="e">
        <f t="shared" si="11"/>
        <v>#DIV/0!</v>
      </c>
      <c r="H466" s="1949" t="e">
        <f t="shared" si="11"/>
        <v>#DIV/0!</v>
      </c>
      <c r="I466" s="1949" t="e">
        <f t="shared" si="11"/>
        <v>#DIV/0!</v>
      </c>
      <c r="J466" s="1949" t="e">
        <f t="shared" si="11"/>
        <v>#DIV/0!</v>
      </c>
      <c r="K466" s="1948" t="str">
        <f>IFERROR(J466-I466,"-")</f>
        <v>-</v>
      </c>
      <c r="M466" s="1349"/>
    </row>
    <row r="467" spans="2:13">
      <c r="M467" s="1349"/>
    </row>
    <row r="468" spans="2:13">
      <c r="B468" s="2025" t="str">
        <f>CONCATENATE("Фактические расходы по страховым взносам за ",$F$4-2," год согласованы экспертами на уровне ",G463," тыс. руб. исходя из следующего:")</f>
        <v>Фактические расходы по страховым взносам за 2022 год согласованы экспертами на уровне  тыс. руб. исходя из следующего:</v>
      </c>
      <c r="C468" s="2025"/>
      <c r="D468" s="2025"/>
      <c r="E468" s="2025"/>
      <c r="F468" s="2025"/>
      <c r="G468" s="2025"/>
      <c r="H468" s="2025"/>
      <c r="I468" s="2025"/>
      <c r="J468" s="2025"/>
      <c r="K468" s="2025"/>
      <c r="M468" s="1349"/>
    </row>
    <row r="469" spans="2:13">
      <c r="B469" s="2026"/>
      <c r="C469" s="2026"/>
      <c r="D469" s="2026"/>
      <c r="E469" s="2026"/>
      <c r="F469" s="2026"/>
      <c r="G469" s="2026"/>
      <c r="H469" s="2026"/>
      <c r="I469" s="2026"/>
      <c r="J469" s="2026"/>
      <c r="K469" s="2026"/>
      <c r="M469" s="2044" t="s">
        <v>1412</v>
      </c>
    </row>
    <row r="470" spans="2:13">
      <c r="B470" s="2026"/>
      <c r="C470" s="2026"/>
      <c r="D470" s="2026"/>
      <c r="E470" s="2026"/>
      <c r="F470" s="2026"/>
      <c r="G470" s="2026"/>
      <c r="H470" s="2026"/>
      <c r="I470" s="2026"/>
      <c r="J470" s="2026"/>
      <c r="K470" s="2026"/>
      <c r="M470" s="2045"/>
    </row>
    <row r="471" spans="2:13">
      <c r="B471" s="2026"/>
      <c r="C471" s="2026"/>
      <c r="D471" s="2026"/>
      <c r="E471" s="2026"/>
      <c r="F471" s="2026"/>
      <c r="G471" s="2026"/>
      <c r="H471" s="2026"/>
      <c r="I471" s="2026"/>
      <c r="J471" s="2026"/>
      <c r="K471" s="2026"/>
      <c r="M471" s="2046"/>
    </row>
    <row r="472" spans="2:13">
      <c r="B472" s="2025" t="str">
        <f>CONCATENATE("При прогнозировании расходов по страховым взносам на ",$F$4," год «Регулятор» руководствовался:")</f>
        <v>При прогнозировании расходов по страховым взносам на 2024 год «Регулятор» руководствовался:</v>
      </c>
      <c r="C472" s="2025"/>
      <c r="D472" s="2025"/>
      <c r="E472" s="2025"/>
      <c r="F472" s="2025"/>
      <c r="G472" s="2025"/>
      <c r="H472" s="2025"/>
      <c r="I472" s="2025"/>
      <c r="J472" s="2025"/>
      <c r="K472" s="2025"/>
      <c r="M472" s="1349"/>
    </row>
    <row r="473" spans="2:13">
      <c r="B473" s="2026"/>
      <c r="C473" s="2026"/>
      <c r="D473" s="2026"/>
      <c r="E473" s="2026"/>
      <c r="F473" s="2026"/>
      <c r="G473" s="2026"/>
      <c r="H473" s="2026"/>
      <c r="I473" s="2026"/>
      <c r="J473" s="2026"/>
      <c r="K473" s="2026"/>
      <c r="M473" s="2044" t="s">
        <v>1468</v>
      </c>
    </row>
    <row r="474" spans="2:13">
      <c r="B474" s="2026"/>
      <c r="C474" s="2026"/>
      <c r="D474" s="2026"/>
      <c r="E474" s="2026"/>
      <c r="F474" s="2026"/>
      <c r="G474" s="2026"/>
      <c r="H474" s="2026"/>
      <c r="I474" s="2026"/>
      <c r="J474" s="2026"/>
      <c r="K474" s="2026"/>
      <c r="M474" s="2045"/>
    </row>
    <row r="475" spans="2:13">
      <c r="B475" s="2026"/>
      <c r="C475" s="2026"/>
      <c r="D475" s="2026"/>
      <c r="E475" s="2026"/>
      <c r="F475" s="2026"/>
      <c r="G475" s="2026"/>
      <c r="H475" s="2026"/>
      <c r="I475" s="2026"/>
      <c r="J475" s="2026"/>
      <c r="K475" s="2026"/>
      <c r="M475" s="2046"/>
    </row>
    <row r="476" spans="2:13">
      <c r="B476" s="2025" t="str">
        <f>CONCATENATE("Корректировка предложения «Организации» на ",$F$4," год составила ",K463,"   тыс. руб. на основании:")</f>
        <v>Корректировка предложения «Организации» на 2024 год составила 0   тыс. руб. на основании:</v>
      </c>
      <c r="C476" s="2025"/>
      <c r="D476" s="2025"/>
      <c r="E476" s="2025"/>
      <c r="F476" s="2025"/>
      <c r="G476" s="2025"/>
      <c r="H476" s="2025"/>
      <c r="I476" s="2025"/>
      <c r="J476" s="2025"/>
      <c r="K476" s="2025"/>
      <c r="M476" s="1349"/>
    </row>
    <row r="477" spans="2:13">
      <c r="B477" s="2026"/>
      <c r="C477" s="2026"/>
      <c r="D477" s="2026"/>
      <c r="E477" s="2026"/>
      <c r="F477" s="2026"/>
      <c r="G477" s="2026"/>
      <c r="H477" s="2026"/>
      <c r="I477" s="2026"/>
      <c r="J477" s="2026"/>
      <c r="K477" s="2026"/>
      <c r="M477" s="2044" t="s">
        <v>1412</v>
      </c>
    </row>
    <row r="478" spans="2:13">
      <c r="B478" s="2026"/>
      <c r="C478" s="2026"/>
      <c r="D478" s="2026"/>
      <c r="E478" s="2026"/>
      <c r="F478" s="2026"/>
      <c r="G478" s="2026"/>
      <c r="H478" s="2026"/>
      <c r="I478" s="2026"/>
      <c r="J478" s="2026"/>
      <c r="K478" s="2026"/>
      <c r="M478" s="2045"/>
    </row>
    <row r="479" spans="2:13">
      <c r="B479" s="2026"/>
      <c r="C479" s="2026"/>
      <c r="D479" s="2026"/>
      <c r="E479" s="2026"/>
      <c r="F479" s="2026"/>
      <c r="G479" s="2026"/>
      <c r="H479" s="2026"/>
      <c r="I479" s="2026"/>
      <c r="J479" s="2026"/>
      <c r="K479" s="2026"/>
      <c r="M479" s="2046"/>
    </row>
    <row r="480" spans="2:13">
      <c r="M480" s="1349"/>
    </row>
    <row r="481" spans="2:13" ht="15.75" customHeight="1">
      <c r="B481" s="2015" t="s">
        <v>1469</v>
      </c>
      <c r="C481" s="2015"/>
      <c r="D481" s="2015"/>
      <c r="E481" s="2015"/>
      <c r="F481" s="2015"/>
      <c r="G481" s="2015"/>
      <c r="H481" s="2015"/>
      <c r="I481" s="2015"/>
      <c r="J481" s="2015"/>
      <c r="K481" s="2015"/>
      <c r="M481" s="1349"/>
    </row>
    <row r="482" spans="2:13">
      <c r="M482" s="1349"/>
    </row>
    <row r="483" spans="2:13" ht="15.75" customHeight="1">
      <c r="B483" s="2003" t="s">
        <v>371</v>
      </c>
      <c r="C483" s="2003"/>
      <c r="D483" s="2003"/>
      <c r="E483" s="2003"/>
      <c r="F483" s="2003"/>
      <c r="G483" s="2003"/>
      <c r="H483" s="2003"/>
      <c r="I483" s="2003"/>
      <c r="J483" s="2003"/>
      <c r="K483" s="2003"/>
      <c r="M483" s="1349"/>
    </row>
    <row r="484" spans="2:13">
      <c r="K484" s="1910" t="s">
        <v>1463</v>
      </c>
      <c r="M484" s="1349"/>
    </row>
    <row r="485" spans="2:13" ht="30" customHeight="1">
      <c r="B485" s="2123" t="s">
        <v>12</v>
      </c>
      <c r="C485" s="2123" t="s">
        <v>1242</v>
      </c>
      <c r="D485" s="1900" t="str">
        <f>CONCATENATE($F$4-3," год")</f>
        <v>2021 год</v>
      </c>
      <c r="E485" s="2062" t="str">
        <f>CONCATENATE($F$4-2," год")</f>
        <v>2022 год</v>
      </c>
      <c r="F485" s="2063"/>
      <c r="G485" s="2064"/>
      <c r="H485" s="1900" t="str">
        <f>CONCATENATE($F$4-1," год")</f>
        <v>2023 год</v>
      </c>
      <c r="I485" s="2062" t="str">
        <f>CONCATENATE($F$4," год")</f>
        <v>2024 год</v>
      </c>
      <c r="J485" s="2063"/>
      <c r="K485" s="2064"/>
      <c r="M485" s="1349"/>
    </row>
    <row r="486" spans="2:13" ht="30" customHeight="1">
      <c r="B486" s="2123"/>
      <c r="C486" s="2123"/>
      <c r="D486" s="1918" t="s">
        <v>1287</v>
      </c>
      <c r="E486" s="1918" t="s">
        <v>1381</v>
      </c>
      <c r="F486" s="1918" t="s">
        <v>1287</v>
      </c>
      <c r="G486" s="1408" t="s">
        <v>263</v>
      </c>
      <c r="H486" s="1918" t="s">
        <v>1288</v>
      </c>
      <c r="I486" s="1918" t="s">
        <v>1330</v>
      </c>
      <c r="J486" s="1918" t="s">
        <v>1290</v>
      </c>
      <c r="K486" s="1408" t="s">
        <v>263</v>
      </c>
      <c r="M486" s="1349"/>
    </row>
    <row r="487" spans="2:13" ht="20.25" customHeight="1">
      <c r="B487" s="1929">
        <v>1</v>
      </c>
      <c r="C487" s="1367">
        <v>2</v>
      </c>
      <c r="D487" s="1367" t="s">
        <v>818</v>
      </c>
      <c r="E487" s="1367" t="s">
        <v>820</v>
      </c>
      <c r="F487" s="1367" t="s">
        <v>822</v>
      </c>
      <c r="G487" s="1367" t="s">
        <v>1550</v>
      </c>
      <c r="H487" s="1367" t="s">
        <v>832</v>
      </c>
      <c r="I487" s="1367" t="s">
        <v>833</v>
      </c>
      <c r="J487" s="1367" t="s">
        <v>407</v>
      </c>
      <c r="K487" s="1367" t="s">
        <v>1929</v>
      </c>
      <c r="M487" s="1349"/>
    </row>
    <row r="488" spans="2:13">
      <c r="B488" s="1918" t="s">
        <v>234</v>
      </c>
      <c r="C488" s="1386" t="s">
        <v>371</v>
      </c>
      <c r="D488" s="1361"/>
      <c r="E488" s="1361"/>
      <c r="F488" s="1361"/>
      <c r="G488" s="1948">
        <f>IFERROR(F488-E488,"-")</f>
        <v>0</v>
      </c>
      <c r="H488" s="1361"/>
      <c r="I488" s="1385"/>
      <c r="J488" s="1385"/>
      <c r="K488" s="1948">
        <f>IFERROR(J488-I488,"-")</f>
        <v>0</v>
      </c>
      <c r="M488" s="1349"/>
    </row>
    <row r="489" spans="2:13">
      <c r="B489" s="2143" t="s">
        <v>1465</v>
      </c>
      <c r="C489" s="2144"/>
      <c r="D489" s="2144"/>
      <c r="E489" s="2144"/>
      <c r="F489" s="2144"/>
      <c r="G489" s="2144"/>
      <c r="H489" s="2144"/>
      <c r="I489" s="2144"/>
      <c r="J489" s="2144"/>
      <c r="K489" s="2145"/>
      <c r="M489" s="1349"/>
    </row>
    <row r="490" spans="2:13">
      <c r="B490" s="1919" t="s">
        <v>237</v>
      </c>
      <c r="C490" s="1932" t="s">
        <v>1471</v>
      </c>
      <c r="D490" s="1364"/>
      <c r="E490" s="1364"/>
      <c r="F490" s="1364"/>
      <c r="G490" s="1948">
        <f>IFERROR(F490-E490,"-")</f>
        <v>0</v>
      </c>
      <c r="H490" s="1368" t="s">
        <v>1404</v>
      </c>
      <c r="I490" s="1411" t="s">
        <v>1404</v>
      </c>
      <c r="J490" s="1411" t="s">
        <v>1404</v>
      </c>
      <c r="K490" s="1411" t="s">
        <v>1404</v>
      </c>
      <c r="M490" s="1349"/>
    </row>
    <row r="491" spans="2:13">
      <c r="B491" s="1919" t="s">
        <v>520</v>
      </c>
      <c r="C491" s="1932" t="s">
        <v>1472</v>
      </c>
      <c r="D491" s="1364"/>
      <c r="E491" s="1364"/>
      <c r="F491" s="1364"/>
      <c r="G491" s="1948">
        <f>IFERROR(F491-E491,"-")</f>
        <v>0</v>
      </c>
      <c r="H491" s="1368" t="s">
        <v>1404</v>
      </c>
      <c r="I491" s="1411" t="s">
        <v>1404</v>
      </c>
      <c r="J491" s="1411" t="s">
        <v>1404</v>
      </c>
      <c r="K491" s="1411" t="s">
        <v>1404</v>
      </c>
      <c r="M491" s="1349"/>
    </row>
    <row r="492" spans="2:13">
      <c r="B492" s="1919" t="s">
        <v>527</v>
      </c>
      <c r="C492" s="1932" t="s">
        <v>1473</v>
      </c>
      <c r="D492" s="1364"/>
      <c r="E492" s="1364"/>
      <c r="F492" s="1364"/>
      <c r="G492" s="1948">
        <f>IFERROR(F492-E492,"-")</f>
        <v>0</v>
      </c>
      <c r="H492" s="1368" t="s">
        <v>1404</v>
      </c>
      <c r="I492" s="1411" t="s">
        <v>1404</v>
      </c>
      <c r="J492" s="1411" t="s">
        <v>1404</v>
      </c>
      <c r="K492" s="1411" t="s">
        <v>1404</v>
      </c>
      <c r="M492" s="1349"/>
    </row>
    <row r="493" spans="2:13">
      <c r="M493" s="1349"/>
    </row>
    <row r="494" spans="2:13" ht="36" customHeight="1">
      <c r="B494" s="2025" t="s">
        <v>1474</v>
      </c>
      <c r="C494" s="2025"/>
      <c r="D494" s="2025"/>
      <c r="E494" s="2025"/>
      <c r="F494" s="2025"/>
      <c r="G494" s="2025"/>
      <c r="H494" s="2025"/>
      <c r="I494" s="2025"/>
      <c r="J494" s="2025"/>
      <c r="K494" s="2025"/>
      <c r="M494" s="1349"/>
    </row>
    <row r="495" spans="2:13" ht="36" customHeight="1">
      <c r="B495" s="2025" t="s">
        <v>1475</v>
      </c>
      <c r="C495" s="2025"/>
      <c r="D495" s="2025"/>
      <c r="E495" s="2025"/>
      <c r="F495" s="2025"/>
      <c r="G495" s="2025"/>
      <c r="H495" s="2025"/>
      <c r="I495" s="2025"/>
      <c r="J495" s="2025"/>
      <c r="K495" s="2025"/>
      <c r="M495" s="1349"/>
    </row>
    <row r="496" spans="2:13" ht="27.75" customHeight="1">
      <c r="B496" s="2025" t="s">
        <v>1476</v>
      </c>
      <c r="C496" s="2025"/>
      <c r="D496" s="2025"/>
      <c r="E496" s="2025"/>
      <c r="F496" s="2025"/>
      <c r="G496" s="2025"/>
      <c r="H496" s="2025"/>
      <c r="I496" s="2025"/>
      <c r="J496" s="2025"/>
      <c r="K496" s="2025"/>
      <c r="M496" s="1349" t="s">
        <v>1477</v>
      </c>
    </row>
    <row r="497" spans="2:13" ht="33.75" customHeight="1">
      <c r="B497" s="2025" t="str">
        <f>CONCATENATE("По итогам ",F4-2," года налог на прибыль относимый на «Организацию» по видам деятельности «передача по распределительным сетям» и «технологическое присоединение» суммарно составил",F490, " тыс. руб. Таким образом в расчет НВВ на ",F4," год включена величина налога на прибыль в размере ",F490," тыс. руб.")</f>
        <v>По итогам 2022 года налог на прибыль относимый на «Организацию» по видам деятельности «передача по распределительным сетям» и «технологическое присоединение» суммарно составил тыс. руб. Таким образом в расчет НВВ на 2024 год включена величина налога на прибыль в размере  тыс. руб.</v>
      </c>
      <c r="C497" s="2025"/>
      <c r="D497" s="2025"/>
      <c r="E497" s="2025"/>
      <c r="F497" s="2025"/>
      <c r="G497" s="2025"/>
      <c r="H497" s="2025"/>
      <c r="I497" s="2025"/>
      <c r="J497" s="2025"/>
      <c r="K497" s="2025"/>
      <c r="M497" s="1349"/>
    </row>
    <row r="498" spans="2:13">
      <c r="B498" s="2025" t="str">
        <f>CONCATENATE("Корректировка предложения «Организации» на ",$F$4," год составила ",K488,"   тыс. руб. на основании:")</f>
        <v>Корректировка предложения «Организации» на 2024 год составила 0   тыс. руб. на основании:</v>
      </c>
      <c r="C498" s="2025"/>
      <c r="D498" s="2025"/>
      <c r="E498" s="2025"/>
      <c r="F498" s="2025"/>
      <c r="G498" s="2025"/>
      <c r="H498" s="2025"/>
      <c r="I498" s="2025"/>
      <c r="J498" s="2025"/>
      <c r="K498" s="2025"/>
      <c r="M498" s="1349"/>
    </row>
    <row r="499" spans="2:13">
      <c r="B499" s="2026"/>
      <c r="C499" s="2026"/>
      <c r="D499" s="2026"/>
      <c r="E499" s="2026"/>
      <c r="F499" s="2026"/>
      <c r="G499" s="2026"/>
      <c r="H499" s="2026"/>
      <c r="I499" s="2026"/>
      <c r="J499" s="2026"/>
      <c r="K499" s="2026"/>
      <c r="M499" s="2044" t="s">
        <v>1412</v>
      </c>
    </row>
    <row r="500" spans="2:13">
      <c r="B500" s="2026"/>
      <c r="C500" s="2026"/>
      <c r="D500" s="2026"/>
      <c r="E500" s="2026"/>
      <c r="F500" s="2026"/>
      <c r="G500" s="2026"/>
      <c r="H500" s="2026"/>
      <c r="I500" s="2026"/>
      <c r="J500" s="2026"/>
      <c r="K500" s="2026"/>
      <c r="M500" s="2045"/>
    </row>
    <row r="501" spans="2:13">
      <c r="B501" s="2026"/>
      <c r="C501" s="2026"/>
      <c r="D501" s="2026"/>
      <c r="E501" s="2026"/>
      <c r="F501" s="2026"/>
      <c r="G501" s="2026"/>
      <c r="H501" s="2026"/>
      <c r="I501" s="2026"/>
      <c r="J501" s="2026"/>
      <c r="K501" s="2026"/>
      <c r="M501" s="2046"/>
    </row>
    <row r="502" spans="2:13">
      <c r="M502" s="1349"/>
    </row>
    <row r="503" spans="2:13" ht="15.75" customHeight="1">
      <c r="B503" s="2015" t="s">
        <v>1478</v>
      </c>
      <c r="C503" s="2015"/>
      <c r="D503" s="2015"/>
      <c r="E503" s="2015"/>
      <c r="F503" s="2015"/>
      <c r="G503" s="2015"/>
      <c r="H503" s="2015"/>
      <c r="I503" s="2015"/>
      <c r="J503" s="2015"/>
      <c r="K503" s="2015"/>
      <c r="M503" s="1349"/>
    </row>
    <row r="504" spans="2:13">
      <c r="M504" s="1349"/>
    </row>
    <row r="505" spans="2:13" ht="38.25" customHeight="1">
      <c r="B505" s="2003" t="s">
        <v>1479</v>
      </c>
      <c r="C505" s="2003"/>
      <c r="D505" s="2003"/>
      <c r="E505" s="2003"/>
      <c r="F505" s="2003"/>
      <c r="G505" s="2003"/>
      <c r="M505" s="1349"/>
    </row>
    <row r="506" spans="2:13">
      <c r="G506" s="1910" t="s">
        <v>1470</v>
      </c>
      <c r="M506" s="1349"/>
    </row>
    <row r="507" spans="2:13" ht="27" customHeight="1">
      <c r="B507" s="2123" t="s">
        <v>12</v>
      </c>
      <c r="C507" s="2123" t="s">
        <v>1242</v>
      </c>
      <c r="D507" s="2048" t="str">
        <f>CONCATENATE($F$4," год")</f>
        <v>2024 год</v>
      </c>
      <c r="E507" s="2048"/>
      <c r="F507" s="2048"/>
      <c r="G507" s="2084" t="s">
        <v>1382</v>
      </c>
      <c r="M507" s="1349"/>
    </row>
    <row r="508" spans="2:13" ht="27" customHeight="1">
      <c r="B508" s="2123"/>
      <c r="C508" s="2123"/>
      <c r="D508" s="1918" t="s">
        <v>1330</v>
      </c>
      <c r="E508" s="1918" t="s">
        <v>1290</v>
      </c>
      <c r="F508" s="1408" t="s">
        <v>263</v>
      </c>
      <c r="G508" s="2084"/>
      <c r="M508" s="1349"/>
    </row>
    <row r="509" spans="2:13" ht="27" customHeight="1">
      <c r="B509" s="1929">
        <v>1</v>
      </c>
      <c r="C509" s="1929">
        <v>2</v>
      </c>
      <c r="D509" s="1929">
        <v>3</v>
      </c>
      <c r="E509" s="1929">
        <v>4</v>
      </c>
      <c r="F509" s="1929" t="s">
        <v>1443</v>
      </c>
      <c r="G509" s="2084"/>
      <c r="M509" s="1349"/>
    </row>
    <row r="510" spans="2:13" ht="33.75">
      <c r="B510" s="1918" t="s">
        <v>234</v>
      </c>
      <c r="C510" s="1386" t="s">
        <v>1481</v>
      </c>
      <c r="D510" s="1948">
        <f>SUM(D511:D512)</f>
        <v>0</v>
      </c>
      <c r="E510" s="1948">
        <f>SUM(E511:E512)</f>
        <v>0</v>
      </c>
      <c r="F510" s="1948">
        <f>IFERROR(E510-D510,"-")</f>
        <v>0</v>
      </c>
      <c r="G510" s="1912"/>
      <c r="M510" s="1349"/>
    </row>
    <row r="511" spans="2:13">
      <c r="B511" s="1919" t="s">
        <v>267</v>
      </c>
      <c r="C511" s="1932"/>
      <c r="D511" s="1928"/>
      <c r="E511" s="1928"/>
      <c r="F511" s="1948">
        <f>IFERROR(E511-D511,"-")</f>
        <v>0</v>
      </c>
      <c r="G511" s="1912"/>
      <c r="M511" s="1349"/>
    </row>
    <row r="512" spans="2:13">
      <c r="B512" s="1919" t="s">
        <v>1438</v>
      </c>
      <c r="C512" s="1932"/>
      <c r="D512" s="1928"/>
      <c r="E512" s="1928"/>
      <c r="F512" s="1948">
        <f>IFERROR(E512-D512,"-")</f>
        <v>0</v>
      </c>
      <c r="G512" s="1912"/>
      <c r="M512" s="1349"/>
    </row>
    <row r="513" spans="2:13">
      <c r="M513" s="1349"/>
    </row>
    <row r="514" spans="2:13">
      <c r="B514" s="2025" t="str">
        <f>CONCATENATE("При прогнозировании расходов по судебным решениям, решениям ФАС России о рассмотрении разногласий и досудебного урегулирования споров на ",$F$4," год «Регулятор» руководствовался:")</f>
        <v>При прогнозировании расходов по судебным решениям, решениям ФАС России о рассмотрении разногласий и досудебного урегулирования споров на 2024 год «Регулятор» руководствовался:</v>
      </c>
      <c r="C514" s="2025"/>
      <c r="D514" s="2025"/>
      <c r="E514" s="2025"/>
      <c r="F514" s="2025"/>
      <c r="G514" s="2025"/>
      <c r="H514" s="2025"/>
      <c r="I514" s="2025"/>
      <c r="J514" s="2025"/>
      <c r="K514" s="2025"/>
      <c r="M514" s="1349"/>
    </row>
    <row r="515" spans="2:13">
      <c r="B515" s="2026"/>
      <c r="C515" s="2026"/>
      <c r="D515" s="2026"/>
      <c r="E515" s="2026"/>
      <c r="F515" s="2026"/>
      <c r="G515" s="2026"/>
      <c r="H515" s="2026"/>
      <c r="I515" s="2026"/>
      <c r="J515" s="2026"/>
      <c r="K515" s="2026"/>
      <c r="M515" s="2044"/>
    </row>
    <row r="516" spans="2:13">
      <c r="B516" s="2026"/>
      <c r="C516" s="2026"/>
      <c r="D516" s="2026"/>
      <c r="E516" s="2026"/>
      <c r="F516" s="2026"/>
      <c r="G516" s="2026"/>
      <c r="H516" s="2026"/>
      <c r="I516" s="2026"/>
      <c r="J516" s="2026"/>
      <c r="K516" s="2026"/>
      <c r="M516" s="2045"/>
    </row>
    <row r="517" spans="2:13">
      <c r="B517" s="2026"/>
      <c r="C517" s="2026"/>
      <c r="D517" s="2026"/>
      <c r="E517" s="2026"/>
      <c r="F517" s="2026"/>
      <c r="G517" s="2026"/>
      <c r="H517" s="2026"/>
      <c r="I517" s="2026"/>
      <c r="J517" s="2026"/>
      <c r="K517" s="2026"/>
      <c r="M517" s="2046"/>
    </row>
    <row r="518" spans="2:13">
      <c r="B518" s="2025" t="str">
        <f>CONCATENATE("Корректировка предложения «Организации» на ",$F$4," год составила ",J505,"   тыс. руб. на основании:")</f>
        <v>Корректировка предложения «Организации» на 2024 год составила    тыс. руб. на основании:</v>
      </c>
      <c r="C518" s="2025"/>
      <c r="D518" s="2025"/>
      <c r="E518" s="2025"/>
      <c r="F518" s="2025"/>
      <c r="G518" s="2025"/>
      <c r="H518" s="2025"/>
      <c r="I518" s="2025"/>
      <c r="J518" s="2025"/>
      <c r="K518" s="2025"/>
      <c r="M518" s="1349"/>
    </row>
    <row r="519" spans="2:13">
      <c r="B519" s="2026"/>
      <c r="C519" s="2026"/>
      <c r="D519" s="2026"/>
      <c r="E519" s="2026"/>
      <c r="F519" s="2026"/>
      <c r="G519" s="2026"/>
      <c r="H519" s="2026"/>
      <c r="I519" s="2026"/>
      <c r="J519" s="2026"/>
      <c r="K519" s="2026"/>
      <c r="M519" s="2044" t="s">
        <v>1412</v>
      </c>
    </row>
    <row r="520" spans="2:13">
      <c r="B520" s="2026"/>
      <c r="C520" s="2026"/>
      <c r="D520" s="2026"/>
      <c r="E520" s="2026"/>
      <c r="F520" s="2026"/>
      <c r="G520" s="2026"/>
      <c r="H520" s="2026"/>
      <c r="I520" s="2026"/>
      <c r="J520" s="2026"/>
      <c r="K520" s="2026"/>
      <c r="M520" s="2045"/>
    </row>
    <row r="521" spans="2:13">
      <c r="B521" s="2026"/>
      <c r="C521" s="2026"/>
      <c r="D521" s="2026"/>
      <c r="E521" s="2026"/>
      <c r="F521" s="2026"/>
      <c r="G521" s="2026"/>
      <c r="H521" s="2026"/>
      <c r="I521" s="2026"/>
      <c r="J521" s="2026"/>
      <c r="K521" s="2026"/>
      <c r="M521" s="2046"/>
    </row>
    <row r="522" spans="2:13">
      <c r="M522" s="1349"/>
    </row>
    <row r="523" spans="2:13" ht="15.75" customHeight="1">
      <c r="B523" s="2015" t="s">
        <v>1482</v>
      </c>
      <c r="C523" s="2015"/>
      <c r="D523" s="2015"/>
      <c r="E523" s="2015"/>
      <c r="F523" s="2015"/>
      <c r="G523" s="2015"/>
      <c r="H523" s="2015"/>
      <c r="I523" s="2015"/>
      <c r="J523" s="2015"/>
      <c r="K523" s="2015"/>
      <c r="M523" s="1349"/>
    </row>
    <row r="524" spans="2:13">
      <c r="M524" s="1349"/>
    </row>
    <row r="525" spans="2:13" ht="15.75">
      <c r="B525" s="2003" t="s">
        <v>1483</v>
      </c>
      <c r="C525" s="2003"/>
      <c r="D525" s="2003"/>
      <c r="E525" s="2003"/>
      <c r="F525" s="2003"/>
      <c r="G525" s="2003"/>
      <c r="H525" s="2003"/>
      <c r="I525" s="2003"/>
      <c r="J525" s="2003"/>
      <c r="M525" s="1349"/>
    </row>
    <row r="526" spans="2:13">
      <c r="K526" s="1910" t="s">
        <v>1480</v>
      </c>
      <c r="M526" s="1349"/>
    </row>
    <row r="527" spans="2:13" ht="30" customHeight="1">
      <c r="B527" s="2123" t="s">
        <v>12</v>
      </c>
      <c r="C527" s="2123" t="s">
        <v>1242</v>
      </c>
      <c r="D527" s="1900" t="str">
        <f>CONCATENATE($F$4-3," год")</f>
        <v>2021 год</v>
      </c>
      <c r="E527" s="2062" t="str">
        <f>CONCATENATE($F$4-2," год")</f>
        <v>2022 год</v>
      </c>
      <c r="F527" s="2063"/>
      <c r="G527" s="2064"/>
      <c r="H527" s="1900" t="str">
        <f>CONCATENATE($F$4-1," год")</f>
        <v>2023 год</v>
      </c>
      <c r="I527" s="2062" t="str">
        <f>CONCATENATE($F$4," год")</f>
        <v>2024 год</v>
      </c>
      <c r="J527" s="2063"/>
      <c r="K527" s="2064"/>
      <c r="M527" s="1349"/>
    </row>
    <row r="528" spans="2:13" ht="30" customHeight="1">
      <c r="B528" s="2123"/>
      <c r="C528" s="2123"/>
      <c r="D528" s="1918" t="s">
        <v>1287</v>
      </c>
      <c r="E528" s="1918" t="s">
        <v>1381</v>
      </c>
      <c r="F528" s="1918" t="s">
        <v>1287</v>
      </c>
      <c r="G528" s="1408" t="s">
        <v>263</v>
      </c>
      <c r="H528" s="1918" t="s">
        <v>1288</v>
      </c>
      <c r="I528" s="1918" t="s">
        <v>1330</v>
      </c>
      <c r="J528" s="1918" t="s">
        <v>1290</v>
      </c>
      <c r="K528" s="1408" t="s">
        <v>263</v>
      </c>
      <c r="M528" s="1349"/>
    </row>
    <row r="529" spans="2:13" ht="30" customHeight="1">
      <c r="B529" s="1929">
        <v>1</v>
      </c>
      <c r="C529" s="1367">
        <v>2</v>
      </c>
      <c r="D529" s="1367" t="s">
        <v>818</v>
      </c>
      <c r="E529" s="1367" t="s">
        <v>820</v>
      </c>
      <c r="F529" s="1367" t="s">
        <v>822</v>
      </c>
      <c r="G529" s="1367" t="s">
        <v>1550</v>
      </c>
      <c r="H529" s="1367" t="s">
        <v>832</v>
      </c>
      <c r="I529" s="1367" t="s">
        <v>833</v>
      </c>
      <c r="J529" s="1367" t="s">
        <v>407</v>
      </c>
      <c r="K529" s="1367" t="s">
        <v>1929</v>
      </c>
      <c r="M529" s="1349"/>
    </row>
    <row r="530" spans="2:13" ht="22.5">
      <c r="B530" s="1918" t="s">
        <v>234</v>
      </c>
      <c r="C530" s="1395" t="s">
        <v>1485</v>
      </c>
      <c r="D530" s="1950">
        <f>SUM(D531,D535)</f>
        <v>0</v>
      </c>
      <c r="E530" s="1950">
        <f>SUM(E531,E535)</f>
        <v>0</v>
      </c>
      <c r="F530" s="1950">
        <f>SUM(F531,F535)</f>
        <v>0</v>
      </c>
      <c r="G530" s="1950">
        <f t="shared" ref="G530:G535" si="12">IFERROR(F530-E530,"-")</f>
        <v>0</v>
      </c>
      <c r="H530" s="1950">
        <f>SUM(H531,H535)</f>
        <v>0</v>
      </c>
      <c r="I530" s="1950">
        <f>SUM(I531,I535)</f>
        <v>0</v>
      </c>
      <c r="J530" s="1950">
        <f>SUM(J531,J535)</f>
        <v>0</v>
      </c>
      <c r="K530" s="1950">
        <f t="shared" ref="K530:K535" si="13">IFERROR(J530-I530,"-")</f>
        <v>0</v>
      </c>
      <c r="M530" s="1349"/>
    </row>
    <row r="531" spans="2:13" ht="33.75">
      <c r="B531" s="1919" t="s">
        <v>267</v>
      </c>
      <c r="C531" s="1412" t="s">
        <v>1486</v>
      </c>
      <c r="D531" s="1953">
        <f>SUM(D532:D534)</f>
        <v>0</v>
      </c>
      <c r="E531" s="1953">
        <f>SUM(E532:E534)</f>
        <v>0</v>
      </c>
      <c r="F531" s="1953">
        <f>SUM(F532:F534)</f>
        <v>0</v>
      </c>
      <c r="G531" s="1953">
        <f t="shared" si="12"/>
        <v>0</v>
      </c>
      <c r="H531" s="1953">
        <f>SUM(H532:H534)</f>
        <v>0</v>
      </c>
      <c r="I531" s="1953">
        <f>SUM(I532:I534)</f>
        <v>0</v>
      </c>
      <c r="J531" s="1953">
        <f>SUM(J532:J534)</f>
        <v>0</v>
      </c>
      <c r="K531" s="1953">
        <f t="shared" si="13"/>
        <v>0</v>
      </c>
      <c r="M531" s="1349"/>
    </row>
    <row r="532" spans="2:13" ht="22.5">
      <c r="B532" s="1919" t="s">
        <v>608</v>
      </c>
      <c r="C532" s="1413" t="s">
        <v>1487</v>
      </c>
      <c r="D532" s="1378"/>
      <c r="E532" s="1378"/>
      <c r="F532" s="1378"/>
      <c r="G532" s="1953">
        <f t="shared" si="12"/>
        <v>0</v>
      </c>
      <c r="H532" s="1378"/>
      <c r="I532" s="1378"/>
      <c r="J532" s="1378"/>
      <c r="K532" s="1953">
        <f t="shared" si="13"/>
        <v>0</v>
      </c>
      <c r="M532" s="1349"/>
    </row>
    <row r="533" spans="2:13" ht="22.5">
      <c r="B533" s="1919" t="s">
        <v>611</v>
      </c>
      <c r="C533" s="1413" t="s">
        <v>1488</v>
      </c>
      <c r="D533" s="1378"/>
      <c r="E533" s="1378"/>
      <c r="F533" s="1378"/>
      <c r="G533" s="1953">
        <f t="shared" si="12"/>
        <v>0</v>
      </c>
      <c r="H533" s="1378"/>
      <c r="I533" s="1378"/>
      <c r="J533" s="1378"/>
      <c r="K533" s="1953">
        <f t="shared" si="13"/>
        <v>0</v>
      </c>
      <c r="M533" s="1349"/>
    </row>
    <row r="534" spans="2:13" ht="22.5">
      <c r="B534" s="1919" t="s">
        <v>614</v>
      </c>
      <c r="C534" s="1413" t="s">
        <v>1489</v>
      </c>
      <c r="D534" s="1378"/>
      <c r="E534" s="1378"/>
      <c r="F534" s="1378"/>
      <c r="G534" s="1953">
        <f t="shared" si="12"/>
        <v>0</v>
      </c>
      <c r="H534" s="1378"/>
      <c r="I534" s="1378"/>
      <c r="J534" s="1378"/>
      <c r="K534" s="1953">
        <f t="shared" si="13"/>
        <v>0</v>
      </c>
      <c r="M534" s="1349"/>
    </row>
    <row r="535" spans="2:13" ht="33.75">
      <c r="B535" s="1919" t="s">
        <v>269</v>
      </c>
      <c r="C535" s="1412" t="s">
        <v>1490</v>
      </c>
      <c r="D535" s="1378"/>
      <c r="E535" s="1378"/>
      <c r="F535" s="1378"/>
      <c r="G535" s="1953">
        <f t="shared" si="12"/>
        <v>0</v>
      </c>
      <c r="H535" s="1378"/>
      <c r="I535" s="1378"/>
      <c r="J535" s="1378"/>
      <c r="K535" s="1953">
        <f t="shared" si="13"/>
        <v>0</v>
      </c>
      <c r="M535" s="1349"/>
    </row>
    <row r="536" spans="2:13">
      <c r="M536" s="1349"/>
    </row>
    <row r="537" spans="2:13" ht="65.25" customHeight="1">
      <c r="B537" s="2025" t="s">
        <v>1491</v>
      </c>
      <c r="C537" s="2025"/>
      <c r="D537" s="2025"/>
      <c r="E537" s="2025"/>
      <c r="F537" s="2025"/>
      <c r="G537" s="2025"/>
      <c r="H537" s="2025"/>
      <c r="I537" s="2025"/>
      <c r="J537" s="2025"/>
      <c r="K537" s="2025"/>
      <c r="M537" s="1349"/>
    </row>
    <row r="538" spans="2:13" ht="43.5" customHeight="1">
      <c r="B538" s="2025" t="s">
        <v>1492</v>
      </c>
      <c r="C538" s="2025"/>
      <c r="D538" s="2025"/>
      <c r="E538" s="2025"/>
      <c r="F538" s="2025"/>
      <c r="G538" s="2025"/>
      <c r="H538" s="2025"/>
      <c r="I538" s="2025"/>
      <c r="J538" s="2025"/>
      <c r="K538" s="2025"/>
      <c r="M538" s="1349"/>
    </row>
    <row r="539" spans="2:13">
      <c r="B539" s="2025" t="str">
        <f>CONCATENATE("Фактические выпадающие доходы, связанные с осуществлением льготного технологического присоединения за ",$F$4-2," год согласованы экспертами на уровне ",F530," тыс. руб. исходя из следующего:")</f>
        <v>Фактические выпадающие доходы, связанные с осуществлением льготного технологического присоединения за 2022 год согласованы экспертами на уровне 0 тыс. руб. исходя из следующего:</v>
      </c>
      <c r="C539" s="2025"/>
      <c r="D539" s="2025"/>
      <c r="E539" s="2025"/>
      <c r="F539" s="2025"/>
      <c r="G539" s="2025"/>
      <c r="H539" s="2025"/>
      <c r="I539" s="2025"/>
      <c r="J539" s="2025"/>
      <c r="K539" s="2025"/>
      <c r="M539" s="1349"/>
    </row>
    <row r="540" spans="2:13">
      <c r="B540" s="2026"/>
      <c r="C540" s="2026"/>
      <c r="D540" s="2026"/>
      <c r="E540" s="2026"/>
      <c r="F540" s="2026"/>
      <c r="G540" s="2026"/>
      <c r="H540" s="2026"/>
      <c r="I540" s="2026"/>
      <c r="J540" s="2026"/>
      <c r="K540" s="2026"/>
      <c r="M540" s="2044" t="s">
        <v>1412</v>
      </c>
    </row>
    <row r="541" spans="2:13">
      <c r="B541" s="2026"/>
      <c r="C541" s="2026"/>
      <c r="D541" s="2026"/>
      <c r="E541" s="2026"/>
      <c r="F541" s="2026"/>
      <c r="G541" s="2026"/>
      <c r="H541" s="2026"/>
      <c r="I541" s="2026"/>
      <c r="J541" s="2026"/>
      <c r="K541" s="2026"/>
      <c r="M541" s="2045"/>
    </row>
    <row r="542" spans="2:13">
      <c r="B542" s="2026"/>
      <c r="C542" s="2026"/>
      <c r="D542" s="2026"/>
      <c r="E542" s="2026"/>
      <c r="F542" s="2026"/>
      <c r="G542" s="2026"/>
      <c r="H542" s="2026"/>
      <c r="I542" s="2026"/>
      <c r="J542" s="2026"/>
      <c r="K542" s="2026"/>
      <c r="M542" s="2046"/>
    </row>
    <row r="543" spans="2:13">
      <c r="B543" s="2025" t="str">
        <f>CONCATENATE("При прогнозировании выпадающих доходов, связанных с осуществлением льготного технологического присоединения на ",$F$4," год «Регулятор» руководствовался:")</f>
        <v>При прогнозировании выпадающих доходов, связанных с осуществлением льготного технологического присоединения на 2024 год «Регулятор» руководствовался:</v>
      </c>
      <c r="C543" s="2025"/>
      <c r="D543" s="2025"/>
      <c r="E543" s="2025"/>
      <c r="F543" s="2025"/>
      <c r="G543" s="2025"/>
      <c r="H543" s="2025"/>
      <c r="I543" s="2025"/>
      <c r="J543" s="2025"/>
      <c r="K543" s="2025"/>
      <c r="M543" s="1349"/>
    </row>
    <row r="544" spans="2:13">
      <c r="B544" s="2026"/>
      <c r="C544" s="2026"/>
      <c r="D544" s="2026"/>
      <c r="E544" s="2026"/>
      <c r="F544" s="2026"/>
      <c r="G544" s="2026"/>
      <c r="H544" s="2026"/>
      <c r="I544" s="2026"/>
      <c r="J544" s="2026"/>
      <c r="K544" s="2026"/>
      <c r="M544" s="2044" t="s">
        <v>1493</v>
      </c>
    </row>
    <row r="545" spans="2:13">
      <c r="B545" s="2026"/>
      <c r="C545" s="2026"/>
      <c r="D545" s="2026"/>
      <c r="E545" s="2026"/>
      <c r="F545" s="2026"/>
      <c r="G545" s="2026"/>
      <c r="H545" s="2026"/>
      <c r="I545" s="2026"/>
      <c r="J545" s="2026"/>
      <c r="K545" s="2026"/>
      <c r="M545" s="2045"/>
    </row>
    <row r="546" spans="2:13">
      <c r="B546" s="2026"/>
      <c r="C546" s="2026"/>
      <c r="D546" s="2026"/>
      <c r="E546" s="2026"/>
      <c r="F546" s="2026"/>
      <c r="G546" s="2026"/>
      <c r="H546" s="2026"/>
      <c r="I546" s="2026"/>
      <c r="J546" s="2026"/>
      <c r="K546" s="2026"/>
      <c r="M546" s="2046"/>
    </row>
    <row r="547" spans="2:13">
      <c r="B547" s="2025" t="str">
        <f>CONCATENATE("Корректировка предложения «Организации» на ",$F$4," год составила ",K530,"   тыс. руб. на основании:")</f>
        <v>Корректировка предложения «Организации» на 2024 год составила 0   тыс. руб. на основании:</v>
      </c>
      <c r="C547" s="2025"/>
      <c r="D547" s="2025"/>
      <c r="E547" s="2025"/>
      <c r="F547" s="2025"/>
      <c r="G547" s="2025"/>
      <c r="H547" s="2025"/>
      <c r="I547" s="2025"/>
      <c r="J547" s="2025"/>
      <c r="K547" s="2025"/>
      <c r="M547" s="1349"/>
    </row>
    <row r="548" spans="2:13">
      <c r="B548" s="2026"/>
      <c r="C548" s="2026"/>
      <c r="D548" s="2026"/>
      <c r="E548" s="2026"/>
      <c r="F548" s="2026"/>
      <c r="G548" s="2026"/>
      <c r="H548" s="2026"/>
      <c r="I548" s="2026"/>
      <c r="J548" s="2026"/>
      <c r="K548" s="2026"/>
      <c r="M548" s="2044" t="s">
        <v>1412</v>
      </c>
    </row>
    <row r="549" spans="2:13">
      <c r="B549" s="2026"/>
      <c r="C549" s="2026"/>
      <c r="D549" s="2026"/>
      <c r="E549" s="2026"/>
      <c r="F549" s="2026"/>
      <c r="G549" s="2026"/>
      <c r="H549" s="2026"/>
      <c r="I549" s="2026"/>
      <c r="J549" s="2026"/>
      <c r="K549" s="2026"/>
      <c r="M549" s="2045"/>
    </row>
    <row r="550" spans="2:13">
      <c r="B550" s="2026"/>
      <c r="C550" s="2026"/>
      <c r="D550" s="2026"/>
      <c r="E550" s="2026"/>
      <c r="F550" s="2026"/>
      <c r="G550" s="2026"/>
      <c r="H550" s="2026"/>
      <c r="I550" s="2026"/>
      <c r="J550" s="2026"/>
      <c r="K550" s="2026"/>
      <c r="M550" s="2046"/>
    </row>
    <row r="551" spans="2:13" ht="34.5" customHeight="1">
      <c r="B551" s="2025" t="str">
        <f>CONCATENATE("Выпадающие доходы, связанные с осуществлением технологического присоединения к электрическим сетям в объеме ",J530," тыс. руб. в соответствии с пунктом 87 Основ ценообразования включены в состав неподконтрольных расходов на ",F4," год.")</f>
        <v>Выпадающие доходы, связанные с осуществлением технологического присоединения к электрическим сетям в объеме 0 тыс. руб. в соответствии с пунктом 87 Основ ценообразования включены в состав неподконтрольных расходов на 2024 год.</v>
      </c>
      <c r="C551" s="2025"/>
      <c r="D551" s="2025"/>
      <c r="E551" s="2025"/>
      <c r="F551" s="2025"/>
      <c r="G551" s="2025"/>
      <c r="H551" s="2025"/>
      <c r="I551" s="2025"/>
      <c r="J551" s="2025"/>
      <c r="K551" s="2025"/>
      <c r="M551" s="1349"/>
    </row>
    <row r="552" spans="2:13">
      <c r="M552" s="1349"/>
    </row>
    <row r="553" spans="2:13" ht="15.75" customHeight="1">
      <c r="B553" s="2015" t="s">
        <v>1494</v>
      </c>
      <c r="C553" s="2015"/>
      <c r="D553" s="2015"/>
      <c r="E553" s="2015"/>
      <c r="F553" s="2015"/>
      <c r="G553" s="2015"/>
      <c r="H553" s="2015"/>
      <c r="I553" s="2015"/>
      <c r="J553" s="2015"/>
      <c r="K553" s="2015"/>
      <c r="M553" s="1349"/>
    </row>
    <row r="554" spans="2:13">
      <c r="M554" s="1349"/>
    </row>
    <row r="555" spans="2:13" ht="15.75">
      <c r="B555" s="2003" t="s">
        <v>1355</v>
      </c>
      <c r="C555" s="2003"/>
      <c r="D555" s="2003"/>
      <c r="E555" s="2003"/>
      <c r="F555" s="2003"/>
      <c r="G555" s="2003"/>
      <c r="H555" s="2003"/>
      <c r="I555" s="2003"/>
      <c r="J555" s="2003"/>
      <c r="K555" s="2003"/>
      <c r="M555" s="1349"/>
    </row>
    <row r="556" spans="2:13">
      <c r="K556" s="1910" t="s">
        <v>1484</v>
      </c>
      <c r="M556" s="1349"/>
    </row>
    <row r="557" spans="2:13" ht="15.75" customHeight="1">
      <c r="B557" s="2123" t="s">
        <v>12</v>
      </c>
      <c r="C557" s="2123" t="s">
        <v>954</v>
      </c>
      <c r="D557" s="2123" t="s">
        <v>246</v>
      </c>
      <c r="E557" s="1900" t="str">
        <f>CONCATENATE($F$4-3," год")</f>
        <v>2021 год</v>
      </c>
      <c r="F557" s="2062" t="str">
        <f>CONCATENATE($F$4-2," год")</f>
        <v>2022 год</v>
      </c>
      <c r="G557" s="2064"/>
      <c r="H557" s="1900" t="str">
        <f>CONCATENATE($F$4-1," год")</f>
        <v>2023 год</v>
      </c>
      <c r="I557" s="2062" t="str">
        <f>CONCATENATE($F$4," год")</f>
        <v>2024 год</v>
      </c>
      <c r="J557" s="2063"/>
      <c r="K557" s="2064"/>
      <c r="M557" s="1349"/>
    </row>
    <row r="558" spans="2:13" ht="22.5">
      <c r="B558" s="2123"/>
      <c r="C558" s="2123"/>
      <c r="D558" s="2123"/>
      <c r="E558" s="1918" t="s">
        <v>1287</v>
      </c>
      <c r="F558" s="1918" t="s">
        <v>1381</v>
      </c>
      <c r="G558" s="1918" t="s">
        <v>1287</v>
      </c>
      <c r="H558" s="1918" t="s">
        <v>1288</v>
      </c>
      <c r="I558" s="1918" t="s">
        <v>1330</v>
      </c>
      <c r="J558" s="1918" t="s">
        <v>1290</v>
      </c>
      <c r="K558" s="1408" t="s">
        <v>263</v>
      </c>
      <c r="M558" s="1349"/>
    </row>
    <row r="559" spans="2:13">
      <c r="B559" s="1929">
        <v>1</v>
      </c>
      <c r="C559" s="1367">
        <v>2</v>
      </c>
      <c r="D559" s="1367" t="s">
        <v>818</v>
      </c>
      <c r="E559" s="1367" t="s">
        <v>820</v>
      </c>
      <c r="F559" s="1367" t="s">
        <v>822</v>
      </c>
      <c r="G559" s="1367" t="s">
        <v>1550</v>
      </c>
      <c r="H559" s="1367" t="s">
        <v>832</v>
      </c>
      <c r="I559" s="1367" t="s">
        <v>833</v>
      </c>
      <c r="J559" s="1367" t="s">
        <v>407</v>
      </c>
      <c r="K559" s="1367" t="s">
        <v>1929</v>
      </c>
      <c r="M559" s="1349"/>
    </row>
    <row r="560" spans="2:13">
      <c r="B560" s="1918" t="s">
        <v>234</v>
      </c>
      <c r="C560" s="1386" t="s">
        <v>1355</v>
      </c>
      <c r="D560" s="1924" t="s">
        <v>226</v>
      </c>
      <c r="E560" s="1662"/>
      <c r="F560" s="1662"/>
      <c r="G560" s="1995">
        <f>'19 (кредиты)'!H20</f>
        <v>0</v>
      </c>
      <c r="H560" s="1995">
        <f>'19 (кредиты)'!H31</f>
        <v>0</v>
      </c>
      <c r="I560" s="1955">
        <f>'19 (кредиты)'!H41</f>
        <v>0</v>
      </c>
      <c r="J560" s="1663"/>
      <c r="K560" s="1953">
        <f>IFERROR(J560-I560,"-")</f>
        <v>0</v>
      </c>
      <c r="M560" s="1349"/>
    </row>
    <row r="561" spans="2:13">
      <c r="B561" s="2146" t="s">
        <v>1085</v>
      </c>
      <c r="C561" s="2146"/>
      <c r="D561" s="2146"/>
      <c r="E561" s="2146"/>
      <c r="F561" s="2146"/>
      <c r="G561" s="2146"/>
      <c r="H561" s="2146"/>
      <c r="I561" s="2146"/>
      <c r="J561" s="2146"/>
      <c r="K561" s="2146"/>
      <c r="M561" s="1349"/>
    </row>
    <row r="562" spans="2:13">
      <c r="B562" s="2142" t="s">
        <v>1080</v>
      </c>
      <c r="C562" s="2142"/>
      <c r="D562" s="1919" t="s">
        <v>226</v>
      </c>
      <c r="E562" s="1664"/>
      <c r="F562" s="1664"/>
      <c r="G562" s="1994">
        <f>'19 (кредиты)'!K20</f>
        <v>0</v>
      </c>
      <c r="H562" s="1994">
        <f>'19 (кредиты)'!K31</f>
        <v>0</v>
      </c>
      <c r="I562" s="1994">
        <f>'19 (кредиты)'!K41</f>
        <v>0</v>
      </c>
      <c r="J562" s="1664"/>
      <c r="K562" s="1953">
        <f>IFERROR(J562-I562,"-")</f>
        <v>0</v>
      </c>
      <c r="M562" s="1349"/>
    </row>
    <row r="563" spans="2:13">
      <c r="B563" s="2142" t="s">
        <v>1496</v>
      </c>
      <c r="C563" s="2142"/>
      <c r="D563" s="1919" t="s">
        <v>226</v>
      </c>
      <c r="E563" s="1387"/>
      <c r="F563" s="1387"/>
      <c r="G563" s="1958">
        <f>'19 (кредиты)'!G20</f>
        <v>0</v>
      </c>
      <c r="H563" s="1958">
        <f>'19 (кредиты)'!G31</f>
        <v>0</v>
      </c>
      <c r="I563" s="1958">
        <f>'19 (кредиты)'!G41</f>
        <v>0</v>
      </c>
      <c r="J563" s="1387"/>
      <c r="K563" s="1953">
        <f>IFERROR(J563-I563,"-")</f>
        <v>0</v>
      </c>
      <c r="M563" s="1349"/>
    </row>
    <row r="564" spans="2:13">
      <c r="B564" s="2142" t="s">
        <v>1086</v>
      </c>
      <c r="C564" s="2142"/>
      <c r="D564" s="1919" t="s">
        <v>226</v>
      </c>
      <c r="E564" s="1993">
        <f t="shared" ref="E564:J564" si="14">IF(E563&gt;E562,E563-E562,0)</f>
        <v>0</v>
      </c>
      <c r="F564" s="1993">
        <f t="shared" si="14"/>
        <v>0</v>
      </c>
      <c r="G564" s="1993">
        <f t="shared" si="14"/>
        <v>0</v>
      </c>
      <c r="H564" s="1993">
        <f t="shared" si="14"/>
        <v>0</v>
      </c>
      <c r="I564" s="1993">
        <f t="shared" si="14"/>
        <v>0</v>
      </c>
      <c r="J564" s="1993">
        <f t="shared" si="14"/>
        <v>0</v>
      </c>
      <c r="K564" s="1953">
        <f>IFERROR(J564-I564,"-")</f>
        <v>0</v>
      </c>
      <c r="M564" s="1349"/>
    </row>
    <row r="565" spans="2:13">
      <c r="B565" s="2142" t="s">
        <v>1497</v>
      </c>
      <c r="C565" s="2142"/>
      <c r="D565" s="1919" t="s">
        <v>268</v>
      </c>
      <c r="E565" s="1993" t="str">
        <f t="shared" ref="E565:J565" si="15">IFERROR(E560/E563,"х")</f>
        <v>х</v>
      </c>
      <c r="F565" s="1993" t="str">
        <f t="shared" si="15"/>
        <v>х</v>
      </c>
      <c r="G565" s="1993" t="str">
        <f t="shared" si="15"/>
        <v>х</v>
      </c>
      <c r="H565" s="1993" t="str">
        <f t="shared" si="15"/>
        <v>х</v>
      </c>
      <c r="I565" s="1993" t="str">
        <f t="shared" si="15"/>
        <v>х</v>
      </c>
      <c r="J565" s="1993" t="str">
        <f t="shared" si="15"/>
        <v>х</v>
      </c>
      <c r="K565" s="1953" t="str">
        <f>IFERROR(J565-I565,"-")</f>
        <v>-</v>
      </c>
      <c r="M565" s="1349"/>
    </row>
    <row r="566" spans="2:13">
      <c r="M566" s="1349"/>
    </row>
    <row r="567" spans="2:13" ht="34.5" customHeight="1">
      <c r="B567" s="2025" t="s">
        <v>1498</v>
      </c>
      <c r="C567" s="2025"/>
      <c r="D567" s="2025"/>
      <c r="E567" s="2025"/>
      <c r="F567" s="2025"/>
      <c r="G567" s="2025"/>
      <c r="H567" s="2025"/>
      <c r="I567" s="2025"/>
      <c r="J567" s="2025"/>
      <c r="K567" s="2025"/>
      <c r="M567" s="1349"/>
    </row>
    <row r="568" spans="2:13" ht="34.5" customHeight="1">
      <c r="B568" s="2025" t="s">
        <v>1499</v>
      </c>
      <c r="C568" s="2025"/>
      <c r="D568" s="2025"/>
      <c r="E568" s="2025"/>
      <c r="F568" s="2025"/>
      <c r="G568" s="2025"/>
      <c r="H568" s="2025"/>
      <c r="I568" s="2025"/>
      <c r="J568" s="2025"/>
      <c r="K568" s="2025"/>
      <c r="M568" s="1349"/>
    </row>
    <row r="569" spans="2:13">
      <c r="B569" s="2025" t="str">
        <f>CONCATENATE("Фактические расходы на обслуживание заемных средств за ",$F$4-2," год согласованы экспертами на уровне ",G560," тыс. руб. исходя из следующего:")</f>
        <v>Фактические расходы на обслуживание заемных средств за 2022 год согласованы экспертами на уровне 0 тыс. руб. исходя из следующего:</v>
      </c>
      <c r="C569" s="2025"/>
      <c r="D569" s="2025"/>
      <c r="E569" s="2025"/>
      <c r="F569" s="2025"/>
      <c r="G569" s="2025"/>
      <c r="H569" s="2025"/>
      <c r="I569" s="2025"/>
      <c r="J569" s="2025"/>
      <c r="K569" s="2025"/>
      <c r="M569" s="1349"/>
    </row>
    <row r="570" spans="2:13">
      <c r="B570" s="2026"/>
      <c r="C570" s="2026"/>
      <c r="D570" s="2026"/>
      <c r="E570" s="2026"/>
      <c r="F570" s="2026"/>
      <c r="G570" s="2026"/>
      <c r="H570" s="2026"/>
      <c r="I570" s="2026"/>
      <c r="J570" s="2026"/>
      <c r="K570" s="2026"/>
      <c r="M570" s="2044" t="s">
        <v>1412</v>
      </c>
    </row>
    <row r="571" spans="2:13">
      <c r="B571" s="2026"/>
      <c r="C571" s="2026"/>
      <c r="D571" s="2026"/>
      <c r="E571" s="2026"/>
      <c r="F571" s="2026"/>
      <c r="G571" s="2026"/>
      <c r="H571" s="2026"/>
      <c r="I571" s="2026"/>
      <c r="J571" s="2026"/>
      <c r="K571" s="2026"/>
      <c r="M571" s="2045"/>
    </row>
    <row r="572" spans="2:13">
      <c r="B572" s="2026"/>
      <c r="C572" s="2026"/>
      <c r="D572" s="2026"/>
      <c r="E572" s="2026"/>
      <c r="F572" s="2026"/>
      <c r="G572" s="2026"/>
      <c r="H572" s="2026"/>
      <c r="I572" s="2026"/>
      <c r="J572" s="2026"/>
      <c r="K572" s="2026"/>
      <c r="M572" s="2046"/>
    </row>
    <row r="573" spans="2:13">
      <c r="B573" s="2025" t="str">
        <f>CONCATENATE("При прогнозировании расходов на обслуживание заемных средств на ",$F$4," год «Регулятор» руководствовался:")</f>
        <v>При прогнозировании расходов на обслуживание заемных средств на 2024 год «Регулятор» руководствовался:</v>
      </c>
      <c r="C573" s="2025"/>
      <c r="D573" s="2025"/>
      <c r="E573" s="2025"/>
      <c r="F573" s="2025"/>
      <c r="G573" s="2025"/>
      <c r="H573" s="2025"/>
      <c r="I573" s="2025"/>
      <c r="J573" s="2025"/>
      <c r="K573" s="2025"/>
      <c r="M573" s="1349"/>
    </row>
    <row r="574" spans="2:13">
      <c r="B574" s="2026"/>
      <c r="C574" s="2026"/>
      <c r="D574" s="2026"/>
      <c r="E574" s="2026"/>
      <c r="F574" s="2026"/>
      <c r="G574" s="2026"/>
      <c r="H574" s="2026"/>
      <c r="I574" s="2026"/>
      <c r="J574" s="2026"/>
      <c r="K574" s="2026"/>
      <c r="M574" s="2044" t="s">
        <v>1500</v>
      </c>
    </row>
    <row r="575" spans="2:13">
      <c r="B575" s="2026"/>
      <c r="C575" s="2026"/>
      <c r="D575" s="2026"/>
      <c r="E575" s="2026"/>
      <c r="F575" s="2026"/>
      <c r="G575" s="2026"/>
      <c r="H575" s="2026"/>
      <c r="I575" s="2026"/>
      <c r="J575" s="2026"/>
      <c r="K575" s="2026"/>
      <c r="M575" s="2045"/>
    </row>
    <row r="576" spans="2:13">
      <c r="B576" s="2026"/>
      <c r="C576" s="2026"/>
      <c r="D576" s="2026"/>
      <c r="E576" s="2026"/>
      <c r="F576" s="2026"/>
      <c r="G576" s="2026"/>
      <c r="H576" s="2026"/>
      <c r="I576" s="2026"/>
      <c r="J576" s="2026"/>
      <c r="K576" s="2026"/>
      <c r="M576" s="2046"/>
    </row>
    <row r="577" spans="2:13">
      <c r="B577" s="2025" t="str">
        <f>CONCATENATE("Корректировка предложения «Организации» на ",$F$4," год составила ",J560,"   тыс. руб. на основании:")</f>
        <v>Корректировка предложения «Организации» на 2024 год составила    тыс. руб. на основании:</v>
      </c>
      <c r="C577" s="2025"/>
      <c r="D577" s="2025"/>
      <c r="E577" s="2025"/>
      <c r="F577" s="2025"/>
      <c r="G577" s="2025"/>
      <c r="H577" s="2025"/>
      <c r="I577" s="2025"/>
      <c r="J577" s="2025"/>
      <c r="K577" s="2025"/>
      <c r="M577" s="1349"/>
    </row>
    <row r="578" spans="2:13">
      <c r="B578" s="2026"/>
      <c r="C578" s="2026"/>
      <c r="D578" s="2026"/>
      <c r="E578" s="2026"/>
      <c r="F578" s="2026"/>
      <c r="G578" s="2026"/>
      <c r="H578" s="2026"/>
      <c r="I578" s="2026"/>
      <c r="J578" s="2026"/>
      <c r="K578" s="2026"/>
      <c r="M578" s="2044" t="s">
        <v>1412</v>
      </c>
    </row>
    <row r="579" spans="2:13">
      <c r="B579" s="2026"/>
      <c r="C579" s="2026"/>
      <c r="D579" s="2026"/>
      <c r="E579" s="2026"/>
      <c r="F579" s="2026"/>
      <c r="G579" s="2026"/>
      <c r="H579" s="2026"/>
      <c r="I579" s="2026"/>
      <c r="J579" s="2026"/>
      <c r="K579" s="2026"/>
      <c r="M579" s="2045"/>
    </row>
    <row r="580" spans="2:13">
      <c r="B580" s="2026"/>
      <c r="C580" s="2026"/>
      <c r="D580" s="2026"/>
      <c r="E580" s="2026"/>
      <c r="F580" s="2026"/>
      <c r="G580" s="2026"/>
      <c r="H580" s="2026"/>
      <c r="I580" s="2026"/>
      <c r="J580" s="2026"/>
      <c r="K580" s="2026"/>
      <c r="M580" s="2046"/>
    </row>
    <row r="581" spans="2:13">
      <c r="M581" s="1349"/>
    </row>
    <row r="582" spans="2:13" ht="15.75" customHeight="1">
      <c r="B582" s="2015" t="s">
        <v>1501</v>
      </c>
      <c r="C582" s="2015"/>
      <c r="D582" s="2015"/>
      <c r="E582" s="2015"/>
      <c r="F582" s="2015"/>
      <c r="G582" s="2015"/>
      <c r="H582" s="2015"/>
      <c r="I582" s="2015"/>
      <c r="J582" s="2015"/>
      <c r="K582" s="2015"/>
      <c r="M582" s="1349"/>
    </row>
    <row r="583" spans="2:13">
      <c r="M583" s="1349"/>
    </row>
    <row r="584" spans="2:13" ht="15.75">
      <c r="B584" s="2003" t="s">
        <v>1502</v>
      </c>
      <c r="C584" s="2003"/>
      <c r="D584" s="2003"/>
      <c r="E584" s="2003"/>
      <c r="F584" s="2003"/>
      <c r="G584" s="2003"/>
      <c r="H584" s="2003"/>
      <c r="I584" s="2003"/>
      <c r="J584" s="2003"/>
      <c r="M584" s="1349"/>
    </row>
    <row r="585" spans="2:13">
      <c r="K585" s="1910" t="s">
        <v>1495</v>
      </c>
      <c r="M585" s="1349"/>
    </row>
    <row r="586" spans="2:13" ht="23.25" customHeight="1">
      <c r="B586" s="2123" t="s">
        <v>12</v>
      </c>
      <c r="C586" s="2123" t="s">
        <v>1242</v>
      </c>
      <c r="D586" s="1900" t="str">
        <f>CONCATENATE($F$4-3," год")</f>
        <v>2021 год</v>
      </c>
      <c r="E586" s="2062" t="str">
        <f>CONCATENATE($F$4-2," год")</f>
        <v>2022 год</v>
      </c>
      <c r="F586" s="2063"/>
      <c r="G586" s="2064"/>
      <c r="H586" s="1900" t="str">
        <f>CONCATENATE($F$4-1," год")</f>
        <v>2023 год</v>
      </c>
      <c r="I586" s="2062" t="str">
        <f>CONCATENATE($F$4," год")</f>
        <v>2024 год</v>
      </c>
      <c r="J586" s="2063"/>
      <c r="K586" s="2064"/>
      <c r="M586" s="1349"/>
    </row>
    <row r="587" spans="2:13" ht="23.25" customHeight="1">
      <c r="B587" s="2123"/>
      <c r="C587" s="2123"/>
      <c r="D587" s="1918" t="s">
        <v>1287</v>
      </c>
      <c r="E587" s="1918" t="s">
        <v>1381</v>
      </c>
      <c r="F587" s="1918" t="s">
        <v>1287</v>
      </c>
      <c r="G587" s="1408" t="s">
        <v>263</v>
      </c>
      <c r="H587" s="1918" t="s">
        <v>1288</v>
      </c>
      <c r="I587" s="1918" t="s">
        <v>1330</v>
      </c>
      <c r="J587" s="1918" t="s">
        <v>1290</v>
      </c>
      <c r="K587" s="1408" t="s">
        <v>263</v>
      </c>
      <c r="M587" s="1349"/>
    </row>
    <row r="588" spans="2:13" ht="23.25" customHeight="1">
      <c r="B588" s="1929">
        <v>1</v>
      </c>
      <c r="C588" s="1367">
        <v>2</v>
      </c>
      <c r="D588" s="1367" t="s">
        <v>818</v>
      </c>
      <c r="E588" s="1367" t="s">
        <v>820</v>
      </c>
      <c r="F588" s="1367" t="s">
        <v>822</v>
      </c>
      <c r="G588" s="1367" t="s">
        <v>1550</v>
      </c>
      <c r="H588" s="1367" t="s">
        <v>832</v>
      </c>
      <c r="I588" s="1367" t="s">
        <v>833</v>
      </c>
      <c r="J588" s="1367" t="s">
        <v>407</v>
      </c>
      <c r="K588" s="1367" t="s">
        <v>1929</v>
      </c>
      <c r="M588" s="1349"/>
    </row>
    <row r="589" spans="2:13">
      <c r="B589" s="1918" t="s">
        <v>234</v>
      </c>
      <c r="C589" s="1386" t="s">
        <v>1357</v>
      </c>
      <c r="D589" s="1361"/>
      <c r="E589" s="1965">
        <f>'20 (аморт-отч пер)'!X64</f>
        <v>0</v>
      </c>
      <c r="F589" s="1965">
        <f>'20 (аморт-отч пер)'!AN64</f>
        <v>0</v>
      </c>
      <c r="G589" s="1953">
        <f>IFERROR(F589-E589,"-")</f>
        <v>0</v>
      </c>
      <c r="H589" s="1965">
        <f>'20 (аморт-отч пер)'!AI64</f>
        <v>0</v>
      </c>
      <c r="I589" s="1952">
        <f>'21 (аморт-план)'!U64</f>
        <v>0</v>
      </c>
      <c r="J589" s="1952">
        <f>'21 (аморт-план)'!AG64</f>
        <v>0</v>
      </c>
      <c r="K589" s="1953">
        <f>IFERROR(J589-I589,"-")</f>
        <v>0</v>
      </c>
      <c r="M589" s="1349"/>
    </row>
    <row r="590" spans="2:13">
      <c r="M590" s="1349"/>
    </row>
    <row r="591" spans="2:13" ht="64.5" customHeight="1">
      <c r="B591" s="2025" t="s">
        <v>1504</v>
      </c>
      <c r="C591" s="2025"/>
      <c r="D591" s="2025"/>
      <c r="E591" s="2025"/>
      <c r="F591" s="2025"/>
      <c r="G591" s="2025"/>
      <c r="H591" s="2025"/>
      <c r="I591" s="2025"/>
      <c r="J591" s="2025"/>
      <c r="K591" s="2025"/>
      <c r="M591" s="1349"/>
    </row>
    <row r="592" spans="2:13" ht="64.5" customHeight="1">
      <c r="B592" s="2025" t="s">
        <v>1505</v>
      </c>
      <c r="C592" s="2025"/>
      <c r="D592" s="2025"/>
      <c r="E592" s="2025"/>
      <c r="F592" s="2025"/>
      <c r="G592" s="2025"/>
      <c r="H592" s="2025"/>
      <c r="I592" s="2025"/>
      <c r="J592" s="2025"/>
      <c r="K592" s="2025"/>
      <c r="M592" s="1349"/>
    </row>
    <row r="593" spans="2:13">
      <c r="M593" s="1349"/>
    </row>
    <row r="594" spans="2:13">
      <c r="M594" s="1349"/>
    </row>
    <row r="595" spans="2:13">
      <c r="B595" s="2025" t="str">
        <f>CONCATENATE("Фактические амортизационные отчисления за ",$F$4-2," год согласованы экспертами на уровне ",F589," тыс. руб. исходя из следующего:")</f>
        <v>Фактические амортизационные отчисления за 2022 год согласованы экспертами на уровне 0 тыс. руб. исходя из следующего:</v>
      </c>
      <c r="C595" s="2025"/>
      <c r="D595" s="2025"/>
      <c r="E595" s="2025"/>
      <c r="F595" s="2025"/>
      <c r="G595" s="2025"/>
      <c r="H595" s="2025"/>
      <c r="I595" s="2025"/>
      <c r="J595" s="2025"/>
      <c r="K595" s="2025"/>
      <c r="M595" s="1349"/>
    </row>
    <row r="596" spans="2:13">
      <c r="B596" s="2026"/>
      <c r="C596" s="2026"/>
      <c r="D596" s="2026"/>
      <c r="E596" s="2026"/>
      <c r="F596" s="2026"/>
      <c r="G596" s="2026"/>
      <c r="H596" s="2026"/>
      <c r="I596" s="2026"/>
      <c r="J596" s="2026"/>
      <c r="K596" s="2026"/>
      <c r="M596" s="2044" t="s">
        <v>1412</v>
      </c>
    </row>
    <row r="597" spans="2:13">
      <c r="B597" s="2026"/>
      <c r="C597" s="2026"/>
      <c r="D597" s="2026"/>
      <c r="E597" s="2026"/>
      <c r="F597" s="2026"/>
      <c r="G597" s="2026"/>
      <c r="H597" s="2026"/>
      <c r="I597" s="2026"/>
      <c r="J597" s="2026"/>
      <c r="K597" s="2026"/>
      <c r="M597" s="2045"/>
    </row>
    <row r="598" spans="2:13">
      <c r="B598" s="2026"/>
      <c r="C598" s="2026"/>
      <c r="D598" s="2026"/>
      <c r="E598" s="2026"/>
      <c r="F598" s="2026"/>
      <c r="G598" s="2026"/>
      <c r="H598" s="2026"/>
      <c r="I598" s="2026"/>
      <c r="J598" s="2026"/>
      <c r="K598" s="2026"/>
      <c r="M598" s="2046"/>
    </row>
    <row r="599" spans="2:13">
      <c r="B599" s="2025" t="str">
        <f>CONCATENATE("При прогнозировании амортизационных отчислений на ",$F$4," год «Регулятор» руководствовался:")</f>
        <v>При прогнозировании амортизационных отчислений на 2024 год «Регулятор» руководствовался:</v>
      </c>
      <c r="C599" s="2025"/>
      <c r="D599" s="2025"/>
      <c r="E599" s="2025"/>
      <c r="F599" s="2025"/>
      <c r="G599" s="2025"/>
      <c r="H599" s="2025"/>
      <c r="I599" s="2025"/>
      <c r="J599" s="2025"/>
      <c r="K599" s="2025"/>
      <c r="M599" s="1349"/>
    </row>
    <row r="600" spans="2:13">
      <c r="B600" s="2026"/>
      <c r="C600" s="2026"/>
      <c r="D600" s="2026"/>
      <c r="E600" s="2026"/>
      <c r="F600" s="2026"/>
      <c r="G600" s="2026"/>
      <c r="H600" s="2026"/>
      <c r="I600" s="2026"/>
      <c r="J600" s="2026"/>
      <c r="K600" s="2026"/>
      <c r="M600" s="2044" t="s">
        <v>1511</v>
      </c>
    </row>
    <row r="601" spans="2:13">
      <c r="B601" s="2026"/>
      <c r="C601" s="2026"/>
      <c r="D601" s="2026"/>
      <c r="E601" s="2026"/>
      <c r="F601" s="2026"/>
      <c r="G601" s="2026"/>
      <c r="H601" s="2026"/>
      <c r="I601" s="2026"/>
      <c r="J601" s="2026"/>
      <c r="K601" s="2026"/>
      <c r="M601" s="2045"/>
    </row>
    <row r="602" spans="2:13">
      <c r="B602" s="2026"/>
      <c r="C602" s="2026"/>
      <c r="D602" s="2026"/>
      <c r="E602" s="2026"/>
      <c r="F602" s="2026"/>
      <c r="G602" s="2026"/>
      <c r="H602" s="2026"/>
      <c r="I602" s="2026"/>
      <c r="J602" s="2026"/>
      <c r="K602" s="2026"/>
      <c r="M602" s="2046"/>
    </row>
    <row r="603" spans="2:13">
      <c r="B603" s="2025" t="str">
        <f>CONCATENATE("Корректировка предложения «Организации» на ",$F$4," год составила ",K589,"   тыс. руб. на основании:")</f>
        <v>Корректировка предложения «Организации» на 2024 год составила 0   тыс. руб. на основании:</v>
      </c>
      <c r="C603" s="2025"/>
      <c r="D603" s="2025"/>
      <c r="E603" s="2025"/>
      <c r="F603" s="2025"/>
      <c r="G603" s="2025"/>
      <c r="H603" s="2025"/>
      <c r="I603" s="2025"/>
      <c r="J603" s="2025"/>
      <c r="K603" s="2025"/>
      <c r="M603" s="1349"/>
    </row>
    <row r="604" spans="2:13">
      <c r="B604" s="2026"/>
      <c r="C604" s="2026"/>
      <c r="D604" s="2026"/>
      <c r="E604" s="2026"/>
      <c r="F604" s="2026"/>
      <c r="G604" s="2026"/>
      <c r="H604" s="2026"/>
      <c r="I604" s="2026"/>
      <c r="J604" s="2026"/>
      <c r="K604" s="2026"/>
      <c r="M604" s="2044" t="s">
        <v>1412</v>
      </c>
    </row>
    <row r="605" spans="2:13">
      <c r="B605" s="2026"/>
      <c r="C605" s="2026"/>
      <c r="D605" s="2026"/>
      <c r="E605" s="2026"/>
      <c r="F605" s="2026"/>
      <c r="G605" s="2026"/>
      <c r="H605" s="2026"/>
      <c r="I605" s="2026"/>
      <c r="J605" s="2026"/>
      <c r="K605" s="2026"/>
      <c r="M605" s="2045"/>
    </row>
    <row r="606" spans="2:13">
      <c r="B606" s="2026"/>
      <c r="C606" s="2026"/>
      <c r="D606" s="2026"/>
      <c r="E606" s="2026"/>
      <c r="F606" s="2026"/>
      <c r="G606" s="2026"/>
      <c r="H606" s="2026"/>
      <c r="I606" s="2026"/>
      <c r="J606" s="2026"/>
      <c r="K606" s="2026"/>
      <c r="M606" s="2046"/>
    </row>
    <row r="607" spans="2:13">
      <c r="M607" s="1349"/>
    </row>
    <row r="608" spans="2:13">
      <c r="M608" s="1349"/>
    </row>
    <row r="609" spans="2:13" ht="15.75" customHeight="1">
      <c r="B609" s="2015" t="s">
        <v>1512</v>
      </c>
      <c r="C609" s="2015"/>
      <c r="D609" s="2015"/>
      <c r="E609" s="2015"/>
      <c r="F609" s="2015"/>
      <c r="G609" s="2015"/>
      <c r="H609" s="2015"/>
      <c r="I609" s="2015"/>
      <c r="J609" s="2015"/>
      <c r="K609" s="2015"/>
      <c r="M609" s="1349"/>
    </row>
    <row r="610" spans="2:13">
      <c r="M610" s="1349"/>
    </row>
    <row r="611" spans="2:13">
      <c r="B611" s="2003" t="s">
        <v>1513</v>
      </c>
      <c r="C611" s="2100"/>
      <c r="D611" s="2100"/>
      <c r="E611" s="2100"/>
      <c r="F611" s="2100"/>
      <c r="G611" s="2100"/>
      <c r="H611" s="2100"/>
      <c r="I611" s="2100"/>
      <c r="J611" s="2100"/>
      <c r="K611" s="2100"/>
      <c r="M611" s="1349"/>
    </row>
    <row r="612" spans="2:13">
      <c r="K612" s="1910" t="s">
        <v>1503</v>
      </c>
      <c r="M612" s="1349"/>
    </row>
    <row r="613" spans="2:13" ht="27.75" customHeight="1">
      <c r="B613" s="2123" t="s">
        <v>12</v>
      </c>
      <c r="C613" s="2123" t="s">
        <v>1242</v>
      </c>
      <c r="D613" s="1900" t="str">
        <f>CONCATENATE($F$4-3," год")</f>
        <v>2021 год</v>
      </c>
      <c r="E613" s="2062" t="str">
        <f>CONCATENATE($F$4-2," год")</f>
        <v>2022 год</v>
      </c>
      <c r="F613" s="2063"/>
      <c r="G613" s="2064"/>
      <c r="H613" s="1900" t="str">
        <f>CONCATENATE($F$4-1," год")</f>
        <v>2023 год</v>
      </c>
      <c r="I613" s="2062" t="str">
        <f>CONCATENATE($F$4," год")</f>
        <v>2024 год</v>
      </c>
      <c r="J613" s="2063"/>
      <c r="K613" s="2064"/>
      <c r="M613" s="1349"/>
    </row>
    <row r="614" spans="2:13" ht="27.75" customHeight="1">
      <c r="B614" s="2123"/>
      <c r="C614" s="2123"/>
      <c r="D614" s="1918" t="s">
        <v>1287</v>
      </c>
      <c r="E614" s="1918" t="s">
        <v>1381</v>
      </c>
      <c r="F614" s="1918" t="s">
        <v>1287</v>
      </c>
      <c r="G614" s="1408" t="s">
        <v>263</v>
      </c>
      <c r="H614" s="1918" t="s">
        <v>1288</v>
      </c>
      <c r="I614" s="1918" t="s">
        <v>1330</v>
      </c>
      <c r="J614" s="1918" t="s">
        <v>1290</v>
      </c>
      <c r="K614" s="1408" t="s">
        <v>263</v>
      </c>
      <c r="M614" s="1349"/>
    </row>
    <row r="615" spans="2:13" ht="27.75" customHeight="1">
      <c r="B615" s="1929">
        <v>1</v>
      </c>
      <c r="C615" s="1367">
        <v>2</v>
      </c>
      <c r="D615" s="1367" t="s">
        <v>818</v>
      </c>
      <c r="E615" s="1367" t="s">
        <v>820</v>
      </c>
      <c r="F615" s="1367" t="s">
        <v>822</v>
      </c>
      <c r="G615" s="1367" t="s">
        <v>1550</v>
      </c>
      <c r="H615" s="1367" t="s">
        <v>832</v>
      </c>
      <c r="I615" s="1367" t="s">
        <v>833</v>
      </c>
      <c r="J615" s="1367" t="s">
        <v>407</v>
      </c>
      <c r="K615" s="1367" t="s">
        <v>1929</v>
      </c>
      <c r="M615" s="1349"/>
    </row>
    <row r="616" spans="2:13" ht="22.5">
      <c r="B616" s="1918" t="s">
        <v>234</v>
      </c>
      <c r="C616" s="1386" t="s">
        <v>1515</v>
      </c>
      <c r="D616" s="1980">
        <f>SUM(D617:D618)</f>
        <v>0</v>
      </c>
      <c r="E616" s="1980">
        <f>SUM(E617:E618)</f>
        <v>0</v>
      </c>
      <c r="F616" s="1980">
        <f>SUM(F617:F618)</f>
        <v>0</v>
      </c>
      <c r="G616" s="1953">
        <f>IFERROR(F616-E616,"-")</f>
        <v>0</v>
      </c>
      <c r="H616" s="1980">
        <f>SUM(H617:H618)</f>
        <v>0</v>
      </c>
      <c r="I616" s="1990">
        <f>SUM(I617:I618)</f>
        <v>0</v>
      </c>
      <c r="J616" s="1990">
        <f>SUM(J617:J618)</f>
        <v>0</v>
      </c>
      <c r="K616" s="1953">
        <f>IFERROR(J616-I616,"-")</f>
        <v>0</v>
      </c>
      <c r="M616" s="1349"/>
    </row>
    <row r="617" spans="2:13">
      <c r="B617" s="1919" t="s">
        <v>267</v>
      </c>
      <c r="C617" s="1922" t="s">
        <v>1516</v>
      </c>
      <c r="D617" s="1416"/>
      <c r="E617" s="1980">
        <f>'24 (прибыль)'!E12</f>
        <v>0</v>
      </c>
      <c r="F617" s="1980">
        <f>'24 (прибыль)'!I12</f>
        <v>0</v>
      </c>
      <c r="G617" s="1953">
        <f>IFERROR(F617-E617,"-")</f>
        <v>0</v>
      </c>
      <c r="H617" s="1980">
        <f>'24 (прибыль)'!F12</f>
        <v>0</v>
      </c>
      <c r="I617" s="1992">
        <f>'24 (прибыль)'!G12</f>
        <v>0</v>
      </c>
      <c r="J617" s="1992">
        <f>'24 (прибыль)'!J12</f>
        <v>0</v>
      </c>
      <c r="K617" s="1953">
        <f>IFERROR(J617-I617,"-")</f>
        <v>0</v>
      </c>
      <c r="M617" s="1349"/>
    </row>
    <row r="618" spans="2:13">
      <c r="B618" s="1919" t="s">
        <v>269</v>
      </c>
      <c r="C618" s="1922" t="s">
        <v>1517</v>
      </c>
      <c r="D618" s="1415"/>
      <c r="E618" s="1415"/>
      <c r="F618" s="1415"/>
      <c r="G618" s="1953">
        <f>IFERROR(F618-E618,"-")</f>
        <v>0</v>
      </c>
      <c r="H618" s="1415"/>
      <c r="I618" s="1415"/>
      <c r="J618" s="1415"/>
      <c r="K618" s="1953">
        <f>IFERROR(J618-I618,"-")</f>
        <v>0</v>
      </c>
      <c r="M618" s="1349"/>
    </row>
    <row r="619" spans="2:13">
      <c r="M619" s="1349"/>
    </row>
    <row r="620" spans="2:13">
      <c r="B620" s="2025" t="str">
        <f>CONCATENATE("Фактические расходы на финансирование капитальных вложений из прибыли за ",$F$4-2," год согласованы экспертами на уровне ",F616," тыс. руб. исходя из следующего:")</f>
        <v>Фактические расходы на финансирование капитальных вложений из прибыли за 2022 год согласованы экспертами на уровне 0 тыс. руб. исходя из следующего:</v>
      </c>
      <c r="C620" s="2025"/>
      <c r="D620" s="2025"/>
      <c r="E620" s="2025"/>
      <c r="F620" s="2025"/>
      <c r="G620" s="2025"/>
      <c r="H620" s="2025"/>
      <c r="I620" s="2025"/>
      <c r="J620" s="2025"/>
      <c r="K620" s="2025"/>
      <c r="M620" s="1349"/>
    </row>
    <row r="621" spans="2:13">
      <c r="B621" s="2026"/>
      <c r="C621" s="2026"/>
      <c r="D621" s="2026"/>
      <c r="E621" s="2026"/>
      <c r="F621" s="2026"/>
      <c r="G621" s="2026"/>
      <c r="H621" s="2026"/>
      <c r="I621" s="2026"/>
      <c r="J621" s="2026"/>
      <c r="K621" s="2026"/>
      <c r="M621" s="2044" t="s">
        <v>1412</v>
      </c>
    </row>
    <row r="622" spans="2:13">
      <c r="B622" s="2026"/>
      <c r="C622" s="2026"/>
      <c r="D622" s="2026"/>
      <c r="E622" s="2026"/>
      <c r="F622" s="2026"/>
      <c r="G622" s="2026"/>
      <c r="H622" s="2026"/>
      <c r="I622" s="2026"/>
      <c r="J622" s="2026"/>
      <c r="K622" s="2026"/>
      <c r="M622" s="2045"/>
    </row>
    <row r="623" spans="2:13">
      <c r="B623" s="2026"/>
      <c r="C623" s="2026"/>
      <c r="D623" s="2026"/>
      <c r="E623" s="2026"/>
      <c r="F623" s="2026"/>
      <c r="G623" s="2026"/>
      <c r="H623" s="2026"/>
      <c r="I623" s="2026"/>
      <c r="J623" s="2026"/>
      <c r="K623" s="2026"/>
      <c r="M623" s="2046"/>
    </row>
    <row r="624" spans="2:13">
      <c r="B624" s="2025" t="str">
        <f>CONCATENATE("При прогнозировании расходов на финансирование капитальных вложений из прибыли на ",$F$4," год «Регулятор» руководствовался:")</f>
        <v>При прогнозировании расходов на финансирование капитальных вложений из прибыли на 2024 год «Регулятор» руководствовался:</v>
      </c>
      <c r="C624" s="2025"/>
      <c r="D624" s="2025"/>
      <c r="E624" s="2025"/>
      <c r="F624" s="2025"/>
      <c r="G624" s="2025"/>
      <c r="H624" s="2025"/>
      <c r="I624" s="2025"/>
      <c r="J624" s="2025"/>
      <c r="K624" s="2025"/>
      <c r="M624" s="1349"/>
    </row>
    <row r="625" spans="2:13">
      <c r="B625" s="2026"/>
      <c r="C625" s="2026"/>
      <c r="D625" s="2026"/>
      <c r="E625" s="2026"/>
      <c r="F625" s="2026"/>
      <c r="G625" s="2026"/>
      <c r="H625" s="2026"/>
      <c r="I625" s="2026"/>
      <c r="J625" s="2026"/>
      <c r="K625" s="2026"/>
      <c r="M625" s="2044" t="s">
        <v>1518</v>
      </c>
    </row>
    <row r="626" spans="2:13">
      <c r="B626" s="2026"/>
      <c r="C626" s="2026"/>
      <c r="D626" s="2026"/>
      <c r="E626" s="2026"/>
      <c r="F626" s="2026"/>
      <c r="G626" s="2026"/>
      <c r="H626" s="2026"/>
      <c r="I626" s="2026"/>
      <c r="J626" s="2026"/>
      <c r="K626" s="2026"/>
      <c r="M626" s="2045"/>
    </row>
    <row r="627" spans="2:13">
      <c r="B627" s="2026"/>
      <c r="C627" s="2026"/>
      <c r="D627" s="2026"/>
      <c r="E627" s="2026"/>
      <c r="F627" s="2026"/>
      <c r="G627" s="2026"/>
      <c r="H627" s="2026"/>
      <c r="I627" s="2026"/>
      <c r="J627" s="2026"/>
      <c r="K627" s="2026"/>
      <c r="M627" s="2046"/>
    </row>
    <row r="628" spans="2:13">
      <c r="B628" s="2025" t="str">
        <f>CONCATENATE("Корректировка предложения «Организации» на ",$F$4," год составила ",J616,"   тыс. руб. на основании:")</f>
        <v>Корректировка предложения «Организации» на 2024 год составила 0   тыс. руб. на основании:</v>
      </c>
      <c r="C628" s="2025"/>
      <c r="D628" s="2025"/>
      <c r="E628" s="2025"/>
      <c r="F628" s="2025"/>
      <c r="G628" s="2025"/>
      <c r="H628" s="2025"/>
      <c r="I628" s="2025"/>
      <c r="J628" s="2025"/>
      <c r="K628" s="2025"/>
      <c r="M628" s="1349"/>
    </row>
    <row r="629" spans="2:13">
      <c r="B629" s="2026"/>
      <c r="C629" s="2026"/>
      <c r="D629" s="2026"/>
      <c r="E629" s="2026"/>
      <c r="F629" s="2026"/>
      <c r="G629" s="2026"/>
      <c r="H629" s="2026"/>
      <c r="I629" s="2026"/>
      <c r="J629" s="2026"/>
      <c r="K629" s="2026"/>
      <c r="M629" s="2044" t="s">
        <v>1412</v>
      </c>
    </row>
    <row r="630" spans="2:13">
      <c r="B630" s="2026"/>
      <c r="C630" s="2026"/>
      <c r="D630" s="2026"/>
      <c r="E630" s="2026"/>
      <c r="F630" s="2026"/>
      <c r="G630" s="2026"/>
      <c r="H630" s="2026"/>
      <c r="I630" s="2026"/>
      <c r="J630" s="2026"/>
      <c r="K630" s="2026"/>
      <c r="M630" s="2045"/>
    </row>
    <row r="631" spans="2:13">
      <c r="B631" s="2026"/>
      <c r="C631" s="2026"/>
      <c r="D631" s="2026"/>
      <c r="E631" s="2026"/>
      <c r="F631" s="2026"/>
      <c r="G631" s="2026"/>
      <c r="H631" s="2026"/>
      <c r="I631" s="2026"/>
      <c r="J631" s="2026"/>
      <c r="K631" s="2026"/>
      <c r="M631" s="2046"/>
    </row>
    <row r="632" spans="2:13" ht="38.25" customHeight="1">
      <c r="B632" s="2025" t="s">
        <v>1519</v>
      </c>
      <c r="C632" s="2025"/>
      <c r="D632" s="2025"/>
      <c r="E632" s="2025"/>
      <c r="F632" s="2025"/>
      <c r="G632" s="2025"/>
      <c r="H632" s="2025"/>
      <c r="I632" s="2025"/>
      <c r="J632" s="2025"/>
      <c r="K632" s="2025"/>
      <c r="M632" s="1349"/>
    </row>
    <row r="633" spans="2:13">
      <c r="M633" s="1349"/>
    </row>
    <row r="634" spans="2:13" ht="15.75" customHeight="1">
      <c r="B634" s="2015" t="s">
        <v>1520</v>
      </c>
      <c r="C634" s="2015"/>
      <c r="D634" s="2015"/>
      <c r="E634" s="2015"/>
      <c r="F634" s="2015"/>
      <c r="G634" s="2015"/>
      <c r="H634" s="2015"/>
      <c r="I634" s="2015"/>
      <c r="J634" s="2015"/>
      <c r="K634" s="2015"/>
      <c r="M634" s="1349"/>
    </row>
    <row r="635" spans="2:13">
      <c r="M635" s="1349"/>
    </row>
    <row r="636" spans="2:13" ht="15.75">
      <c r="B636" s="2003" t="s">
        <v>1521</v>
      </c>
      <c r="C636" s="2003"/>
      <c r="D636" s="2003"/>
      <c r="E636" s="2003"/>
      <c r="F636" s="2003"/>
      <c r="G636" s="2003"/>
      <c r="H636" s="2003"/>
      <c r="I636" s="2003"/>
      <c r="J636" s="2003"/>
      <c r="K636" s="2003"/>
      <c r="M636" s="1349"/>
    </row>
    <row r="637" spans="2:13">
      <c r="K637" s="1910" t="s">
        <v>1506</v>
      </c>
      <c r="M637" s="1349"/>
    </row>
    <row r="638" spans="2:13" ht="15.75" customHeight="1">
      <c r="B638" s="2141" t="s">
        <v>12</v>
      </c>
      <c r="C638" s="2141" t="s">
        <v>1242</v>
      </c>
      <c r="D638" s="1900" t="str">
        <f>CONCATENATE($F$4-3," год")</f>
        <v>2021 год</v>
      </c>
      <c r="E638" s="2062" t="str">
        <f>CONCATENATE($F$4-2," год")</f>
        <v>2022 год</v>
      </c>
      <c r="F638" s="2063"/>
      <c r="G638" s="2064"/>
      <c r="H638" s="1900" t="str">
        <f>CONCATENATE($F$4-1," год")</f>
        <v>2023 год</v>
      </c>
      <c r="I638" s="2062" t="str">
        <f>CONCATENATE($F$4," год")</f>
        <v>2024 год</v>
      </c>
      <c r="J638" s="2063"/>
      <c r="K638" s="2064"/>
      <c r="M638" s="1349"/>
    </row>
    <row r="639" spans="2:13" ht="22.5">
      <c r="B639" s="2141"/>
      <c r="C639" s="2141"/>
      <c r="D639" s="1918" t="s">
        <v>1287</v>
      </c>
      <c r="E639" s="1918" t="s">
        <v>1381</v>
      </c>
      <c r="F639" s="1918" t="s">
        <v>1287</v>
      </c>
      <c r="G639" s="1408" t="s">
        <v>263</v>
      </c>
      <c r="H639" s="1918" t="s">
        <v>1288</v>
      </c>
      <c r="I639" s="1918" t="s">
        <v>1330</v>
      </c>
      <c r="J639" s="1918" t="s">
        <v>1290</v>
      </c>
      <c r="K639" s="1408" t="s">
        <v>263</v>
      </c>
      <c r="M639" s="1349"/>
    </row>
    <row r="640" spans="2:13">
      <c r="B640" s="1929">
        <v>1</v>
      </c>
      <c r="C640" s="1367">
        <v>2</v>
      </c>
      <c r="D640" s="1367" t="s">
        <v>818</v>
      </c>
      <c r="E640" s="1367" t="s">
        <v>820</v>
      </c>
      <c r="F640" s="1367" t="s">
        <v>822</v>
      </c>
      <c r="G640" s="1367" t="s">
        <v>1550</v>
      </c>
      <c r="H640" s="1367" t="s">
        <v>832</v>
      </c>
      <c r="I640" s="1367" t="s">
        <v>833</v>
      </c>
      <c r="J640" s="1367" t="s">
        <v>407</v>
      </c>
      <c r="K640" s="1367" t="s">
        <v>1929</v>
      </c>
      <c r="M640" s="1349"/>
    </row>
    <row r="641" spans="2:13">
      <c r="B641" s="1924" t="s">
        <v>234</v>
      </c>
      <c r="C641" s="1386" t="s">
        <v>1521</v>
      </c>
      <c r="D641" s="1416"/>
      <c r="E641" s="1416"/>
      <c r="F641" s="1416"/>
      <c r="G641" s="1953">
        <f>IFERROR(F641-E641,"-")</f>
        <v>0</v>
      </c>
      <c r="H641" s="1416"/>
      <c r="I641" s="1416"/>
      <c r="J641" s="1416"/>
      <c r="K641" s="1953">
        <f>IFERROR(J641-I641,"-")</f>
        <v>0</v>
      </c>
      <c r="M641" s="1349"/>
    </row>
    <row r="642" spans="2:13">
      <c r="M642" s="1349"/>
    </row>
    <row r="643" spans="2:13" ht="57.75" customHeight="1">
      <c r="B643" s="2025" t="s">
        <v>1523</v>
      </c>
      <c r="C643" s="2025"/>
      <c r="D643" s="2025"/>
      <c r="E643" s="2025"/>
      <c r="F643" s="2025"/>
      <c r="G643" s="2025"/>
      <c r="H643" s="2025"/>
      <c r="I643" s="2025"/>
      <c r="J643" s="2025"/>
      <c r="K643" s="2025"/>
      <c r="M643" s="1349"/>
    </row>
    <row r="644" spans="2:13">
      <c r="B644" s="2025" t="str">
        <f>CONCATENATE("Фактические расходы, связанные с возвратом заемных средств за ",$F$4-2," год согласованы экспертами на уровне ",F641," тыс. руб. исходя из следующего:")</f>
        <v>Фактические расходы, связанные с возвратом заемных средств за 2022 год согласованы экспертами на уровне  тыс. руб. исходя из следующего:</v>
      </c>
      <c r="C644" s="2025"/>
      <c r="D644" s="2025"/>
      <c r="E644" s="2025"/>
      <c r="F644" s="2025"/>
      <c r="G644" s="2025"/>
      <c r="H644" s="2025"/>
      <c r="I644" s="2025"/>
      <c r="J644" s="2025"/>
      <c r="K644" s="2025"/>
      <c r="M644" s="1349"/>
    </row>
    <row r="645" spans="2:13">
      <c r="B645" s="2026"/>
      <c r="C645" s="2026"/>
      <c r="D645" s="2026"/>
      <c r="E645" s="2026"/>
      <c r="F645" s="2026"/>
      <c r="G645" s="2026"/>
      <c r="H645" s="2026"/>
      <c r="I645" s="2026"/>
      <c r="J645" s="2026"/>
      <c r="K645" s="2026"/>
      <c r="M645" s="2044" t="s">
        <v>1412</v>
      </c>
    </row>
    <row r="646" spans="2:13">
      <c r="B646" s="2026"/>
      <c r="C646" s="2026"/>
      <c r="D646" s="2026"/>
      <c r="E646" s="2026"/>
      <c r="F646" s="2026"/>
      <c r="G646" s="2026"/>
      <c r="H646" s="2026"/>
      <c r="I646" s="2026"/>
      <c r="J646" s="2026"/>
      <c r="K646" s="2026"/>
      <c r="M646" s="2045"/>
    </row>
    <row r="647" spans="2:13">
      <c r="B647" s="2026"/>
      <c r="C647" s="2026"/>
      <c r="D647" s="2026"/>
      <c r="E647" s="2026"/>
      <c r="F647" s="2026"/>
      <c r="G647" s="2026"/>
      <c r="H647" s="2026"/>
      <c r="I647" s="2026"/>
      <c r="J647" s="2026"/>
      <c r="K647" s="2026"/>
      <c r="M647" s="2046"/>
    </row>
    <row r="648" spans="2:13">
      <c r="B648" s="2025" t="str">
        <f>CONCATENATE("При прогнозировании расходов, связанных с возвратом заемных средств на ",$F$4," год «Регулятор» руководствовался:")</f>
        <v>При прогнозировании расходов, связанных с возвратом заемных средств на 2024 год «Регулятор» руководствовался:</v>
      </c>
      <c r="C648" s="2025"/>
      <c r="D648" s="2025"/>
      <c r="E648" s="2025"/>
      <c r="F648" s="2025"/>
      <c r="G648" s="2025"/>
      <c r="H648" s="2025"/>
      <c r="I648" s="2025"/>
      <c r="J648" s="2025"/>
      <c r="K648" s="2025"/>
      <c r="M648" s="1349"/>
    </row>
    <row r="649" spans="2:13">
      <c r="B649" s="2026"/>
      <c r="C649" s="2026"/>
      <c r="D649" s="2026"/>
      <c r="E649" s="2026"/>
      <c r="F649" s="2026"/>
      <c r="G649" s="2026"/>
      <c r="H649" s="2026"/>
      <c r="I649" s="2026"/>
      <c r="J649" s="2026"/>
      <c r="K649" s="2026"/>
      <c r="M649" s="2044" t="s">
        <v>1524</v>
      </c>
    </row>
    <row r="650" spans="2:13">
      <c r="B650" s="2026"/>
      <c r="C650" s="2026"/>
      <c r="D650" s="2026"/>
      <c r="E650" s="2026"/>
      <c r="F650" s="2026"/>
      <c r="G650" s="2026"/>
      <c r="H650" s="2026"/>
      <c r="I650" s="2026"/>
      <c r="J650" s="2026"/>
      <c r="K650" s="2026"/>
      <c r="M650" s="2045"/>
    </row>
    <row r="651" spans="2:13">
      <c r="B651" s="2026"/>
      <c r="C651" s="2026"/>
      <c r="D651" s="2026"/>
      <c r="E651" s="2026"/>
      <c r="F651" s="2026"/>
      <c r="G651" s="2026"/>
      <c r="H651" s="2026"/>
      <c r="I651" s="2026"/>
      <c r="J651" s="2026"/>
      <c r="K651" s="2026"/>
      <c r="M651" s="2046"/>
    </row>
    <row r="652" spans="2:13">
      <c r="B652" s="2025" t="str">
        <f>CONCATENATE("Корректировка предложения «Организации» на ",$F$4," год составила ",K641,"   тыс. руб. на основании:")</f>
        <v>Корректировка предложения «Организации» на 2024 год составила 0   тыс. руб. на основании:</v>
      </c>
      <c r="C652" s="2025"/>
      <c r="D652" s="2025"/>
      <c r="E652" s="2025"/>
      <c r="F652" s="2025"/>
      <c r="G652" s="2025"/>
      <c r="H652" s="2025"/>
      <c r="I652" s="2025"/>
      <c r="J652" s="2025"/>
      <c r="K652" s="2025"/>
      <c r="M652" s="1349"/>
    </row>
    <row r="653" spans="2:13">
      <c r="B653" s="2026"/>
      <c r="C653" s="2026"/>
      <c r="D653" s="2026"/>
      <c r="E653" s="2026"/>
      <c r="F653" s="2026"/>
      <c r="G653" s="2026"/>
      <c r="H653" s="2026"/>
      <c r="I653" s="2026"/>
      <c r="J653" s="2026"/>
      <c r="K653" s="2026"/>
      <c r="M653" s="2044" t="s">
        <v>1412</v>
      </c>
    </row>
    <row r="654" spans="2:13">
      <c r="B654" s="2026"/>
      <c r="C654" s="2026"/>
      <c r="D654" s="2026"/>
      <c r="E654" s="2026"/>
      <c r="F654" s="2026"/>
      <c r="G654" s="2026"/>
      <c r="H654" s="2026"/>
      <c r="I654" s="2026"/>
      <c r="J654" s="2026"/>
      <c r="K654" s="2026"/>
      <c r="M654" s="2045"/>
    </row>
    <row r="655" spans="2:13">
      <c r="B655" s="2026"/>
      <c r="C655" s="2026"/>
      <c r="D655" s="2026"/>
      <c r="E655" s="2026"/>
      <c r="F655" s="2026"/>
      <c r="G655" s="2026"/>
      <c r="H655" s="2026"/>
      <c r="I655" s="2026"/>
      <c r="J655" s="2026"/>
      <c r="K655" s="2026"/>
      <c r="M655" s="2046"/>
    </row>
    <row r="656" spans="2:13">
      <c r="M656" s="1349"/>
    </row>
    <row r="657" spans="2:13" ht="15.75" customHeight="1">
      <c r="B657" s="2015" t="s">
        <v>1525</v>
      </c>
      <c r="C657" s="2015"/>
      <c r="D657" s="2015"/>
      <c r="E657" s="2015"/>
      <c r="F657" s="2015"/>
      <c r="G657" s="2015"/>
      <c r="H657" s="2015"/>
      <c r="I657" s="2015"/>
      <c r="J657" s="2015"/>
      <c r="K657" s="2015"/>
      <c r="M657" s="1349"/>
    </row>
    <row r="658" spans="2:13">
      <c r="M658" s="1349"/>
    </row>
    <row r="659" spans="2:13" ht="15.75">
      <c r="B659" s="2003" t="s">
        <v>62</v>
      </c>
      <c r="C659" s="2003"/>
      <c r="D659" s="2003"/>
      <c r="E659" s="2003"/>
      <c r="F659" s="2003"/>
      <c r="G659" s="2003"/>
      <c r="H659" s="2003"/>
      <c r="I659" s="2003"/>
      <c r="J659" s="2003"/>
      <c r="K659" s="2003"/>
      <c r="M659" s="1349"/>
    </row>
    <row r="660" spans="2:13">
      <c r="K660" s="1910" t="s">
        <v>1514</v>
      </c>
      <c r="M660" s="1349"/>
    </row>
    <row r="661" spans="2:13" ht="15.75" customHeight="1">
      <c r="B661" s="2123" t="s">
        <v>12</v>
      </c>
      <c r="C661" s="2123" t="s">
        <v>1242</v>
      </c>
      <c r="D661" s="1900" t="str">
        <f>CONCATENATE($F$4-3," год")</f>
        <v>2021 год</v>
      </c>
      <c r="E661" s="2062" t="str">
        <f>CONCATENATE($F$4-2," год")</f>
        <v>2022 год</v>
      </c>
      <c r="F661" s="2063"/>
      <c r="G661" s="2064"/>
      <c r="H661" s="1900" t="str">
        <f>CONCATENATE($F$4-1," год")</f>
        <v>2023 год</v>
      </c>
      <c r="I661" s="2062" t="str">
        <f>CONCATENATE($F$4," год")</f>
        <v>2024 год</v>
      </c>
      <c r="J661" s="2063"/>
      <c r="K661" s="2064"/>
      <c r="M661" s="1349"/>
    </row>
    <row r="662" spans="2:13" ht="22.5">
      <c r="B662" s="2123"/>
      <c r="C662" s="2123"/>
      <c r="D662" s="1918" t="s">
        <v>1287</v>
      </c>
      <c r="E662" s="1918" t="s">
        <v>1381</v>
      </c>
      <c r="F662" s="1918" t="s">
        <v>1287</v>
      </c>
      <c r="G662" s="1408" t="s">
        <v>263</v>
      </c>
      <c r="H662" s="1918" t="s">
        <v>1288</v>
      </c>
      <c r="I662" s="1918" t="s">
        <v>1330</v>
      </c>
      <c r="J662" s="1918" t="s">
        <v>1290</v>
      </c>
      <c r="K662" s="1408" t="s">
        <v>263</v>
      </c>
      <c r="M662" s="1349"/>
    </row>
    <row r="663" spans="2:13">
      <c r="B663" s="1929">
        <v>1</v>
      </c>
      <c r="C663" s="1367">
        <v>2</v>
      </c>
      <c r="D663" s="1367" t="s">
        <v>818</v>
      </c>
      <c r="E663" s="1367" t="s">
        <v>820</v>
      </c>
      <c r="F663" s="1367" t="s">
        <v>822</v>
      </c>
      <c r="G663" s="1367" t="s">
        <v>1550</v>
      </c>
      <c r="H663" s="1367" t="s">
        <v>832</v>
      </c>
      <c r="I663" s="1367" t="s">
        <v>833</v>
      </c>
      <c r="J663" s="1367" t="s">
        <v>407</v>
      </c>
      <c r="K663" s="1367" t="s">
        <v>1929</v>
      </c>
      <c r="M663" s="1349"/>
    </row>
    <row r="664" spans="2:13">
      <c r="B664" s="1918" t="s">
        <v>234</v>
      </c>
      <c r="C664" s="1386" t="s">
        <v>1527</v>
      </c>
      <c r="D664" s="1980">
        <f>SUM(D665)</f>
        <v>0</v>
      </c>
      <c r="E664" s="1980">
        <f>SUM(E665)</f>
        <v>0</v>
      </c>
      <c r="F664" s="1980">
        <f>SUM(F665)</f>
        <v>0</v>
      </c>
      <c r="G664" s="1985">
        <f>IFERROR(F664-E664,"-")</f>
        <v>0</v>
      </c>
      <c r="H664" s="1980">
        <f>SUM(H665)</f>
        <v>0</v>
      </c>
      <c r="I664" s="1980">
        <f>SUM(I665)</f>
        <v>0</v>
      </c>
      <c r="J664" s="1980">
        <f>SUM(J665)</f>
        <v>0</v>
      </c>
      <c r="K664" s="1985">
        <f>IFERROR(J664-I664,"-")</f>
        <v>0</v>
      </c>
      <c r="M664" s="1349"/>
    </row>
    <row r="665" spans="2:13">
      <c r="B665" s="1417"/>
      <c r="C665" s="1417"/>
      <c r="D665" s="1415"/>
      <c r="E665" s="1415"/>
      <c r="F665" s="1415"/>
      <c r="G665" s="1985">
        <f>IFERROR(F665-E665,"-")</f>
        <v>0</v>
      </c>
      <c r="H665" s="1415"/>
      <c r="I665" s="1415"/>
      <c r="J665" s="1415"/>
      <c r="K665" s="1985">
        <f>IFERROR(J665-I665,"-")</f>
        <v>0</v>
      </c>
      <c r="M665" s="1349"/>
    </row>
    <row r="666" spans="2:13">
      <c r="M666" s="1349"/>
    </row>
    <row r="667" spans="2:13">
      <c r="B667" s="2025" t="str">
        <f>CONCATENATE("Фактические неподконтрольные расходы за ",$F$4-2," год согласованы экспертами на уровне ",F664," тыс. руб. исходя из следующего:")</f>
        <v>Фактические неподконтрольные расходы за 2022 год согласованы экспертами на уровне 0 тыс. руб. исходя из следующего:</v>
      </c>
      <c r="C667" s="2025"/>
      <c r="D667" s="2025"/>
      <c r="E667" s="2025"/>
      <c r="F667" s="2025"/>
      <c r="G667" s="2025"/>
      <c r="H667" s="2025"/>
      <c r="I667" s="2025"/>
      <c r="J667" s="2025"/>
      <c r="K667" s="2025"/>
      <c r="M667" s="1349"/>
    </row>
    <row r="668" spans="2:13">
      <c r="B668" s="2026"/>
      <c r="C668" s="2026"/>
      <c r="D668" s="2026"/>
      <c r="E668" s="2026"/>
      <c r="F668" s="2026"/>
      <c r="G668" s="2026"/>
      <c r="H668" s="2026"/>
      <c r="I668" s="2026"/>
      <c r="J668" s="2026"/>
      <c r="K668" s="2026"/>
      <c r="M668" s="2044" t="s">
        <v>1412</v>
      </c>
    </row>
    <row r="669" spans="2:13">
      <c r="B669" s="2026"/>
      <c r="C669" s="2026"/>
      <c r="D669" s="2026"/>
      <c r="E669" s="2026"/>
      <c r="F669" s="2026"/>
      <c r="G669" s="2026"/>
      <c r="H669" s="2026"/>
      <c r="I669" s="2026"/>
      <c r="J669" s="2026"/>
      <c r="K669" s="2026"/>
      <c r="M669" s="2045"/>
    </row>
    <row r="670" spans="2:13">
      <c r="B670" s="2026"/>
      <c r="C670" s="2026"/>
      <c r="D670" s="2026"/>
      <c r="E670" s="2026"/>
      <c r="F670" s="2026"/>
      <c r="G670" s="2026"/>
      <c r="H670" s="2026"/>
      <c r="I670" s="2026"/>
      <c r="J670" s="2026"/>
      <c r="K670" s="2026"/>
      <c r="M670" s="2046"/>
    </row>
    <row r="671" spans="2:13">
      <c r="B671" s="2025" t="str">
        <f>CONCATENATE("При прогнозировании прочих неподконтрольных расходов на ",$F$4," год «Регулятор» руководствовался:")</f>
        <v>При прогнозировании прочих неподконтрольных расходов на 2024 год «Регулятор» руководствовался:</v>
      </c>
      <c r="C671" s="2025"/>
      <c r="D671" s="2025"/>
      <c r="E671" s="2025"/>
      <c r="F671" s="2025"/>
      <c r="G671" s="2025"/>
      <c r="H671" s="2025"/>
      <c r="I671" s="2025"/>
      <c r="J671" s="2025"/>
      <c r="K671" s="2025"/>
      <c r="M671" s="1349"/>
    </row>
    <row r="672" spans="2:13">
      <c r="B672" s="2026"/>
      <c r="C672" s="2026"/>
      <c r="D672" s="2026"/>
      <c r="E672" s="2026"/>
      <c r="F672" s="2026"/>
      <c r="G672" s="2026"/>
      <c r="H672" s="2026"/>
      <c r="I672" s="2026"/>
      <c r="J672" s="2026"/>
      <c r="K672" s="2026"/>
      <c r="M672" s="2044" t="s">
        <v>1528</v>
      </c>
    </row>
    <row r="673" spans="2:13">
      <c r="B673" s="2026"/>
      <c r="C673" s="2026"/>
      <c r="D673" s="2026"/>
      <c r="E673" s="2026"/>
      <c r="F673" s="2026"/>
      <c r="G673" s="2026"/>
      <c r="H673" s="2026"/>
      <c r="I673" s="2026"/>
      <c r="J673" s="2026"/>
      <c r="K673" s="2026"/>
      <c r="M673" s="2045"/>
    </row>
    <row r="674" spans="2:13">
      <c r="B674" s="2026"/>
      <c r="C674" s="2026"/>
      <c r="D674" s="2026"/>
      <c r="E674" s="2026"/>
      <c r="F674" s="2026"/>
      <c r="G674" s="2026"/>
      <c r="H674" s="2026"/>
      <c r="I674" s="2026"/>
      <c r="J674" s="2026"/>
      <c r="K674" s="2026"/>
      <c r="M674" s="2046"/>
    </row>
    <row r="675" spans="2:13">
      <c r="B675" s="2025" t="str">
        <f>CONCATENATE("Корректировка предложения «Организации» на ",$F$4," год составила ",K664,"   тыс. руб. на основании:")</f>
        <v>Корректировка предложения «Организации» на 2024 год составила 0   тыс. руб. на основании:</v>
      </c>
      <c r="C675" s="2025"/>
      <c r="D675" s="2025"/>
      <c r="E675" s="2025"/>
      <c r="F675" s="2025"/>
      <c r="G675" s="2025"/>
      <c r="H675" s="2025"/>
      <c r="I675" s="2025"/>
      <c r="J675" s="2025"/>
      <c r="K675" s="2025"/>
      <c r="M675" s="1349"/>
    </row>
    <row r="676" spans="2:13">
      <c r="B676" s="2026"/>
      <c r="C676" s="2026"/>
      <c r="D676" s="2026"/>
      <c r="E676" s="2026"/>
      <c r="F676" s="2026"/>
      <c r="G676" s="2026"/>
      <c r="H676" s="2026"/>
      <c r="I676" s="2026"/>
      <c r="J676" s="2026"/>
      <c r="K676" s="2026"/>
      <c r="M676" s="2044" t="s">
        <v>1412</v>
      </c>
    </row>
    <row r="677" spans="2:13">
      <c r="B677" s="2026"/>
      <c r="C677" s="2026"/>
      <c r="D677" s="2026"/>
      <c r="E677" s="2026"/>
      <c r="F677" s="2026"/>
      <c r="G677" s="2026"/>
      <c r="H677" s="2026"/>
      <c r="I677" s="2026"/>
      <c r="J677" s="2026"/>
      <c r="K677" s="2026"/>
      <c r="M677" s="2045"/>
    </row>
    <row r="678" spans="2:13">
      <c r="B678" s="2026"/>
      <c r="C678" s="2026"/>
      <c r="D678" s="2026"/>
      <c r="E678" s="2026"/>
      <c r="F678" s="2026"/>
      <c r="G678" s="2026"/>
      <c r="H678" s="2026"/>
      <c r="I678" s="2026"/>
      <c r="J678" s="2026"/>
      <c r="K678" s="2026"/>
      <c r="M678" s="2046"/>
    </row>
    <row r="679" spans="2:13">
      <c r="M679" s="1349"/>
    </row>
    <row r="680" spans="2:13" ht="15.75" customHeight="1">
      <c r="B680" s="2015" t="s">
        <v>1529</v>
      </c>
      <c r="C680" s="2015"/>
      <c r="D680" s="2015"/>
      <c r="E680" s="2015"/>
      <c r="F680" s="2015"/>
      <c r="G680" s="2015"/>
      <c r="H680" s="2015"/>
      <c r="I680" s="2015"/>
      <c r="J680" s="2015"/>
      <c r="K680" s="2015"/>
      <c r="M680" s="1349" t="s">
        <v>1310</v>
      </c>
    </row>
    <row r="681" spans="2:13" ht="15.75" customHeight="1">
      <c r="M681" s="1349"/>
    </row>
    <row r="682" spans="2:13" ht="48.75" customHeight="1">
      <c r="B682" s="2025" t="s">
        <v>2050</v>
      </c>
      <c r="C682" s="2025"/>
      <c r="D682" s="2025"/>
      <c r="E682" s="2025"/>
      <c r="F682" s="2025"/>
      <c r="G682" s="2025"/>
      <c r="H682" s="2025"/>
      <c r="I682" s="2025"/>
      <c r="J682" s="2025"/>
      <c r="K682" s="2025"/>
      <c r="M682" s="1349"/>
    </row>
    <row r="683" spans="2:13" ht="15.75" customHeight="1">
      <c r="M683" s="1349"/>
    </row>
    <row r="684" spans="2:13" ht="36" customHeight="1">
      <c r="B684" s="2003" t="s">
        <v>1530</v>
      </c>
      <c r="C684" s="2003"/>
      <c r="D684" s="2003"/>
      <c r="E684" s="2003"/>
      <c r="F684" s="2003"/>
      <c r="G684" s="2003"/>
      <c r="H684" s="2003"/>
      <c r="I684" s="2003"/>
      <c r="M684" s="1349"/>
    </row>
    <row r="685" spans="2:13" ht="15.75" customHeight="1">
      <c r="I685" s="1910" t="s">
        <v>1522</v>
      </c>
      <c r="M685" s="1349"/>
    </row>
    <row r="686" spans="2:13" ht="19.5">
      <c r="B686" s="2055" t="s">
        <v>1532</v>
      </c>
      <c r="C686" s="2147" t="s">
        <v>1533</v>
      </c>
      <c r="D686" s="2147"/>
      <c r="E686" s="2147" t="s">
        <v>1534</v>
      </c>
      <c r="F686" s="2147"/>
      <c r="G686" s="1925" t="s">
        <v>1535</v>
      </c>
      <c r="H686" s="2147" t="s">
        <v>1536</v>
      </c>
      <c r="I686" s="2147"/>
      <c r="M686" s="1349"/>
    </row>
    <row r="687" spans="2:13" ht="29.25">
      <c r="B687" s="2055"/>
      <c r="C687" s="1925" t="s">
        <v>1537</v>
      </c>
      <c r="D687" s="1925" t="s">
        <v>1538</v>
      </c>
      <c r="E687" s="1925" t="s">
        <v>1537</v>
      </c>
      <c r="F687" s="1925" t="s">
        <v>1539</v>
      </c>
      <c r="G687" s="1925" t="s">
        <v>1010</v>
      </c>
      <c r="H687" s="1925" t="s">
        <v>1537</v>
      </c>
      <c r="I687" s="1925" t="s">
        <v>1538</v>
      </c>
      <c r="M687" s="1349"/>
    </row>
    <row r="688" spans="2:13" ht="15.75" customHeight="1">
      <c r="B688" s="1929">
        <v>1</v>
      </c>
      <c r="C688" s="1929">
        <v>2</v>
      </c>
      <c r="D688" s="1929">
        <v>3</v>
      </c>
      <c r="E688" s="1929">
        <v>4</v>
      </c>
      <c r="F688" s="1929">
        <v>5</v>
      </c>
      <c r="G688" s="1929">
        <v>6</v>
      </c>
      <c r="H688" s="1929">
        <v>7</v>
      </c>
      <c r="I688" s="1929">
        <v>8</v>
      </c>
      <c r="M688" s="1349"/>
    </row>
    <row r="689" spans="2:13" ht="15.75" customHeight="1">
      <c r="B689" s="1418">
        <f>'0. Анкета'!C13</f>
        <v>2019</v>
      </c>
      <c r="C689" s="1416"/>
      <c r="D689" s="1416"/>
      <c r="E689" s="1416"/>
      <c r="F689" s="1416"/>
      <c r="G689" s="1416"/>
      <c r="H689" s="1416"/>
      <c r="I689" s="1980">
        <f>D689-F689-G689</f>
        <v>0</v>
      </c>
      <c r="M689" s="1349"/>
    </row>
    <row r="690" spans="2:13" ht="15.75" customHeight="1">
      <c r="B690" s="1418">
        <f>B689+1</f>
        <v>2020</v>
      </c>
      <c r="C690" s="1416"/>
      <c r="D690" s="1416"/>
      <c r="E690" s="1416"/>
      <c r="F690" s="1416"/>
      <c r="G690" s="1416"/>
      <c r="H690" s="1416"/>
      <c r="I690" s="1980">
        <f>D690-F690-G690</f>
        <v>0</v>
      </c>
      <c r="M690" s="1349"/>
    </row>
    <row r="691" spans="2:13" ht="15.75" customHeight="1">
      <c r="B691" s="1418">
        <f>B690+1</f>
        <v>2021</v>
      </c>
      <c r="C691" s="1416"/>
      <c r="D691" s="1416"/>
      <c r="E691" s="1416"/>
      <c r="F691" s="1416"/>
      <c r="G691" s="1416"/>
      <c r="H691" s="1416"/>
      <c r="I691" s="1980">
        <f>D691-F691-G691</f>
        <v>0</v>
      </c>
      <c r="M691" s="1349"/>
    </row>
    <row r="692" spans="2:13" ht="15.75" customHeight="1">
      <c r="B692" s="1418">
        <f>B691+1</f>
        <v>2022</v>
      </c>
      <c r="C692" s="1416"/>
      <c r="D692" s="1416"/>
      <c r="E692" s="1416"/>
      <c r="F692" s="1416"/>
      <c r="G692" s="1416"/>
      <c r="H692" s="1416"/>
      <c r="I692" s="1980">
        <f>D692-F692-G692</f>
        <v>0</v>
      </c>
      <c r="M692" s="1349"/>
    </row>
    <row r="693" spans="2:13" ht="15.75" customHeight="1">
      <c r="B693" s="1418">
        <f>B692+1</f>
        <v>2023</v>
      </c>
      <c r="C693" s="1416"/>
      <c r="D693" s="1416"/>
      <c r="E693" s="1416"/>
      <c r="F693" s="1416"/>
      <c r="G693" s="1416"/>
      <c r="H693" s="1416"/>
      <c r="I693" s="1980">
        <f>D693-F693-G693</f>
        <v>0</v>
      </c>
      <c r="M693" s="1349"/>
    </row>
    <row r="694" spans="2:13" ht="15.75" customHeight="1">
      <c r="M694" s="1349"/>
    </row>
    <row r="695" spans="2:13" ht="15.75" customHeight="1">
      <c r="B695" s="2003" t="s">
        <v>1540</v>
      </c>
      <c r="C695" s="2003"/>
      <c r="D695" s="2003"/>
      <c r="E695" s="2003"/>
      <c r="F695" s="2003"/>
      <c r="G695" s="2003"/>
      <c r="H695" s="2003"/>
      <c r="I695" s="2003"/>
      <c r="J695" s="2003"/>
      <c r="M695" s="1349"/>
    </row>
    <row r="696" spans="2:13" ht="15.75" customHeight="1">
      <c r="J696" s="1910" t="s">
        <v>1526</v>
      </c>
      <c r="M696" s="1349"/>
    </row>
    <row r="697" spans="2:13" ht="19.5">
      <c r="B697" s="2147" t="s">
        <v>1532</v>
      </c>
      <c r="C697" s="2147" t="s">
        <v>1533</v>
      </c>
      <c r="D697" s="2147"/>
      <c r="E697" s="2147" t="s">
        <v>1542</v>
      </c>
      <c r="F697" s="2147" t="s">
        <v>1534</v>
      </c>
      <c r="G697" s="2147"/>
      <c r="H697" s="1925" t="s">
        <v>1535</v>
      </c>
      <c r="I697" s="2147" t="s">
        <v>1536</v>
      </c>
      <c r="J697" s="2147"/>
      <c r="M697" s="1349"/>
    </row>
    <row r="698" spans="2:13" ht="29.25">
      <c r="B698" s="2147"/>
      <c r="C698" s="1925" t="s">
        <v>1543</v>
      </c>
      <c r="D698" s="1925" t="s">
        <v>1544</v>
      </c>
      <c r="E698" s="2147"/>
      <c r="F698" s="1925" t="s">
        <v>1543</v>
      </c>
      <c r="G698" s="1925" t="s">
        <v>1539</v>
      </c>
      <c r="H698" s="1925" t="s">
        <v>1010</v>
      </c>
      <c r="I698" s="1925" t="s">
        <v>1545</v>
      </c>
      <c r="J698" s="1925" t="s">
        <v>1546</v>
      </c>
      <c r="M698" s="1349"/>
    </row>
    <row r="699" spans="2:13" ht="15.75" customHeight="1">
      <c r="B699" s="1929">
        <v>1</v>
      </c>
      <c r="C699" s="1929">
        <v>2</v>
      </c>
      <c r="D699" s="1929">
        <v>3</v>
      </c>
      <c r="E699" s="1929">
        <v>4</v>
      </c>
      <c r="F699" s="1929">
        <v>5</v>
      </c>
      <c r="G699" s="1929">
        <v>6</v>
      </c>
      <c r="H699" s="1929">
        <v>7</v>
      </c>
      <c r="I699" s="1929">
        <v>8</v>
      </c>
      <c r="J699" s="1929">
        <v>9</v>
      </c>
      <c r="M699" s="1349"/>
    </row>
    <row r="700" spans="2:13" ht="15.75" customHeight="1">
      <c r="B700" s="1418">
        <f>'0. Анкета'!C13</f>
        <v>2019</v>
      </c>
      <c r="C700" s="1416"/>
      <c r="D700" s="1416"/>
      <c r="E700" s="1416"/>
      <c r="F700" s="1416"/>
      <c r="G700" s="1416"/>
      <c r="H700" s="1416"/>
      <c r="I700" s="1416"/>
      <c r="J700" s="1416"/>
      <c r="M700" s="1349"/>
    </row>
    <row r="701" spans="2:13" ht="15.75" customHeight="1">
      <c r="B701" s="1418">
        <f>B700+1</f>
        <v>2020</v>
      </c>
      <c r="C701" s="1416"/>
      <c r="D701" s="1416"/>
      <c r="E701" s="1416"/>
      <c r="F701" s="1416"/>
      <c r="G701" s="1416"/>
      <c r="H701" s="1416"/>
      <c r="I701" s="1416"/>
      <c r="J701" s="1416"/>
      <c r="M701" s="1349"/>
    </row>
    <row r="702" spans="2:13" ht="15.75" customHeight="1">
      <c r="B702" s="1418">
        <f>B701+1</f>
        <v>2021</v>
      </c>
      <c r="C702" s="1416"/>
      <c r="D702" s="1416"/>
      <c r="E702" s="1416"/>
      <c r="F702" s="1416"/>
      <c r="G702" s="1416"/>
      <c r="H702" s="1416"/>
      <c r="I702" s="1416"/>
      <c r="J702" s="1416"/>
      <c r="M702" s="1349"/>
    </row>
    <row r="703" spans="2:13" ht="15.75" customHeight="1">
      <c r="B703" s="1418">
        <f>B702+1</f>
        <v>2022</v>
      </c>
      <c r="C703" s="1416"/>
      <c r="D703" s="1416"/>
      <c r="E703" s="1416"/>
      <c r="F703" s="1416"/>
      <c r="G703" s="1416"/>
      <c r="H703" s="1416"/>
      <c r="I703" s="1416"/>
      <c r="J703" s="1416"/>
      <c r="M703" s="1349"/>
    </row>
    <row r="704" spans="2:13" ht="15.75" customHeight="1">
      <c r="B704" s="1418">
        <f>B703+1</f>
        <v>2023</v>
      </c>
      <c r="C704" s="1416"/>
      <c r="D704" s="1416"/>
      <c r="E704" s="1416"/>
      <c r="F704" s="1416"/>
      <c r="G704" s="1416"/>
      <c r="H704" s="1416"/>
      <c r="I704" s="1416"/>
      <c r="J704" s="1416"/>
      <c r="M704" s="1349"/>
    </row>
    <row r="705" spans="2:13" ht="15.75" customHeight="1">
      <c r="M705" s="1349"/>
    </row>
    <row r="706" spans="2:13" ht="15.75" customHeight="1">
      <c r="B706" s="2025" t="s">
        <v>1547</v>
      </c>
      <c r="C706" s="2025"/>
      <c r="D706" s="2025"/>
      <c r="E706" s="2025"/>
      <c r="F706" s="2025"/>
      <c r="G706" s="2025"/>
      <c r="H706" s="2025"/>
      <c r="I706" s="2025"/>
      <c r="J706" s="2025"/>
      <c r="K706" s="2025"/>
      <c r="M706" s="1349"/>
    </row>
    <row r="707" spans="2:13" ht="15.75" customHeight="1">
      <c r="M707" s="1349"/>
    </row>
    <row r="708" spans="2:13" ht="15.75" customHeight="1">
      <c r="B708" s="2003" t="s">
        <v>1548</v>
      </c>
      <c r="C708" s="2003"/>
      <c r="D708" s="2003"/>
      <c r="E708" s="2003"/>
      <c r="F708" s="2003"/>
      <c r="G708" s="2003"/>
      <c r="H708" s="2003"/>
      <c r="M708" s="1349"/>
    </row>
    <row r="709" spans="2:13" ht="15.75" customHeight="1">
      <c r="I709" s="1910" t="s">
        <v>1531</v>
      </c>
      <c r="M709" s="1349"/>
    </row>
    <row r="710" spans="2:13" ht="15.75" customHeight="1">
      <c r="B710" s="2141" t="s">
        <v>12</v>
      </c>
      <c r="C710" s="2148" t="s">
        <v>954</v>
      </c>
      <c r="D710" s="2148" t="s">
        <v>262</v>
      </c>
      <c r="E710" s="1900" t="str">
        <f>CONCATENATE($F$4-1," год")</f>
        <v>2023 год</v>
      </c>
      <c r="F710" s="2062" t="str">
        <f>CONCATENATE($F$4," год")</f>
        <v>2024 год</v>
      </c>
      <c r="G710" s="2063"/>
      <c r="H710" s="2064"/>
      <c r="I710" s="2149" t="s">
        <v>1382</v>
      </c>
      <c r="M710" s="1349"/>
    </row>
    <row r="711" spans="2:13" ht="22.5">
      <c r="B711" s="2141"/>
      <c r="C711" s="2148"/>
      <c r="D711" s="2148"/>
      <c r="E711" s="1918" t="s">
        <v>1288</v>
      </c>
      <c r="F711" s="1930" t="s">
        <v>1330</v>
      </c>
      <c r="G711" s="1930" t="s">
        <v>1290</v>
      </c>
      <c r="H711" s="1419" t="s">
        <v>263</v>
      </c>
      <c r="I711" s="2150"/>
      <c r="M711" s="1349"/>
    </row>
    <row r="712" spans="2:13" ht="15.75" customHeight="1">
      <c r="B712" s="1420">
        <v>1</v>
      </c>
      <c r="C712" s="1420">
        <v>2</v>
      </c>
      <c r="D712" s="1420">
        <v>3</v>
      </c>
      <c r="E712" s="1397" t="s">
        <v>820</v>
      </c>
      <c r="F712" s="1397" t="s">
        <v>822</v>
      </c>
      <c r="G712" s="1397" t="s">
        <v>824</v>
      </c>
      <c r="H712" s="1397" t="s">
        <v>1657</v>
      </c>
      <c r="I712" s="2151"/>
      <c r="M712" s="1349"/>
    </row>
    <row r="713" spans="2:13" ht="22.5">
      <c r="B713" s="1368" t="s">
        <v>234</v>
      </c>
      <c r="C713" s="1932" t="s">
        <v>1551</v>
      </c>
      <c r="D713" s="1368" t="s">
        <v>226</v>
      </c>
      <c r="E713" s="1415"/>
      <c r="F713" s="1415"/>
      <c r="G713" s="1415"/>
      <c r="H713" s="1985">
        <f t="shared" ref="H713:H737" si="16">IFERROR(G713-F713,"-")</f>
        <v>0</v>
      </c>
      <c r="I713" s="1416"/>
      <c r="M713" s="1349"/>
    </row>
    <row r="714" spans="2:13" ht="22.5">
      <c r="B714" s="1368" t="s">
        <v>237</v>
      </c>
      <c r="C714" s="1932" t="s">
        <v>1552</v>
      </c>
      <c r="D714" s="1368" t="s">
        <v>226</v>
      </c>
      <c r="E714" s="1414">
        <f>'38 ДПР'!G13*1000</f>
        <v>0</v>
      </c>
      <c r="F714" s="1414">
        <f>'38 ДПР'!H13*1000</f>
        <v>0</v>
      </c>
      <c r="G714" s="1414">
        <f>'38 ДПР'!H13*1000</f>
        <v>0</v>
      </c>
      <c r="H714" s="1985">
        <f t="shared" si="16"/>
        <v>0</v>
      </c>
      <c r="I714" s="1416"/>
      <c r="M714" s="1349"/>
    </row>
    <row r="715" spans="2:13" ht="15.75" customHeight="1">
      <c r="B715" s="1368" t="s">
        <v>239</v>
      </c>
      <c r="C715" s="1932" t="s">
        <v>1553</v>
      </c>
      <c r="D715" s="1368" t="s">
        <v>268</v>
      </c>
      <c r="E715" s="1415"/>
      <c r="F715" s="1415"/>
      <c r="G715" s="1415"/>
      <c r="H715" s="1985">
        <f t="shared" si="16"/>
        <v>0</v>
      </c>
      <c r="I715" s="1416"/>
      <c r="M715" s="1349"/>
    </row>
    <row r="716" spans="2:13" ht="15.75" customHeight="1">
      <c r="B716" s="1368" t="s">
        <v>242</v>
      </c>
      <c r="C716" s="1932" t="s">
        <v>1554</v>
      </c>
      <c r="D716" s="1368" t="s">
        <v>1555</v>
      </c>
      <c r="E716" s="1414">
        <f>'38 ДПР'!G17</f>
        <v>0</v>
      </c>
      <c r="F716" s="1414">
        <f>'38 ДПР'!H17</f>
        <v>0</v>
      </c>
      <c r="G716" s="1414">
        <f>'38 ДПР'!H17</f>
        <v>0</v>
      </c>
      <c r="H716" s="1985">
        <f t="shared" si="16"/>
        <v>0</v>
      </c>
      <c r="I716" s="1416"/>
      <c r="M716" s="1349"/>
    </row>
    <row r="717" spans="2:13" ht="15.75" customHeight="1">
      <c r="B717" s="1368" t="s">
        <v>899</v>
      </c>
      <c r="C717" s="1932" t="s">
        <v>1030</v>
      </c>
      <c r="D717" s="1368" t="s">
        <v>389</v>
      </c>
      <c r="E717" s="1990">
        <f>(1-E715)*E716</f>
        <v>0</v>
      </c>
      <c r="F717" s="1990">
        <f>(1-F715)*F716</f>
        <v>0</v>
      </c>
      <c r="G717" s="1990">
        <f>(1-G715)*G716</f>
        <v>0</v>
      </c>
      <c r="H717" s="1985">
        <f t="shared" si="16"/>
        <v>0</v>
      </c>
      <c r="I717" s="1416"/>
      <c r="M717" s="1349"/>
    </row>
    <row r="718" spans="2:13" ht="15.75" customHeight="1">
      <c r="B718" s="1368" t="s">
        <v>860</v>
      </c>
      <c r="C718" s="1932" t="s">
        <v>1556</v>
      </c>
      <c r="D718" s="1368" t="s">
        <v>226</v>
      </c>
      <c r="E718" s="1414">
        <f>'38 ДПР'!G14*1000</f>
        <v>0</v>
      </c>
      <c r="F718" s="1414">
        <f>'38 ДПР'!H14*1000</f>
        <v>0</v>
      </c>
      <c r="G718" s="1414">
        <f>'38 ДПР'!H14*1000</f>
        <v>0</v>
      </c>
      <c r="H718" s="1985">
        <f t="shared" si="16"/>
        <v>0</v>
      </c>
      <c r="I718" s="1416"/>
      <c r="M718" s="1349"/>
    </row>
    <row r="719" spans="2:13" ht="15.75" customHeight="1">
      <c r="B719" s="1368" t="s">
        <v>862</v>
      </c>
      <c r="C719" s="1932" t="s">
        <v>1557</v>
      </c>
      <c r="D719" s="1368" t="s">
        <v>268</v>
      </c>
      <c r="E719" s="1947">
        <f>'38 ДПР'!G15</f>
        <v>0</v>
      </c>
      <c r="F719" s="1947">
        <f>'38 ДПР'!H15</f>
        <v>0</v>
      </c>
      <c r="G719" s="1947">
        <f>'38 ДПР'!H15</f>
        <v>0</v>
      </c>
      <c r="H719" s="1991">
        <f t="shared" si="16"/>
        <v>0</v>
      </c>
      <c r="I719" s="1416"/>
      <c r="M719" s="1349"/>
    </row>
    <row r="720" spans="2:13" ht="15.75" customHeight="1">
      <c r="B720" s="1368" t="s">
        <v>872</v>
      </c>
      <c r="C720" s="1932" t="s">
        <v>1558</v>
      </c>
      <c r="D720" s="1368" t="s">
        <v>268</v>
      </c>
      <c r="E720" s="1947">
        <f>'38 ДПР'!G16</f>
        <v>0</v>
      </c>
      <c r="F720" s="1947">
        <f>'38 ДПР'!H16</f>
        <v>0</v>
      </c>
      <c r="G720" s="1947">
        <f>'38 ДПР'!H16</f>
        <v>0</v>
      </c>
      <c r="H720" s="1991">
        <f t="shared" si="16"/>
        <v>0</v>
      </c>
      <c r="I720" s="1416"/>
      <c r="M720" s="1349"/>
    </row>
    <row r="721" spans="2:13" ht="22.5">
      <c r="B721" s="1924" t="s">
        <v>904</v>
      </c>
      <c r="C721" s="1386" t="s">
        <v>1559</v>
      </c>
      <c r="D721" s="1924" t="s">
        <v>226</v>
      </c>
      <c r="E721" s="1989">
        <f>SUM(E722:E723)</f>
        <v>0</v>
      </c>
      <c r="F721" s="1989">
        <f>SUM(F722:F723)</f>
        <v>0</v>
      </c>
      <c r="G721" s="1989">
        <f>SUM(G722:G723)</f>
        <v>0</v>
      </c>
      <c r="H721" s="1985">
        <f t="shared" si="16"/>
        <v>0</v>
      </c>
      <c r="I721" s="1416"/>
      <c r="M721" s="1349"/>
    </row>
    <row r="722" spans="2:13" ht="15.75" customHeight="1">
      <c r="B722" s="1368" t="s">
        <v>1386</v>
      </c>
      <c r="C722" s="1410" t="s">
        <v>1560</v>
      </c>
      <c r="D722" s="1368" t="s">
        <v>226</v>
      </c>
      <c r="E722" s="1415"/>
      <c r="F722" s="1415"/>
      <c r="G722" s="1414">
        <f>'34 Расчет НВВ по RAB'!P25</f>
        <v>0</v>
      </c>
      <c r="H722" s="1985">
        <f t="shared" si="16"/>
        <v>0</v>
      </c>
      <c r="I722" s="1416"/>
      <c r="M722" s="1349"/>
    </row>
    <row r="723" spans="2:13" ht="15.75" customHeight="1">
      <c r="B723" s="1368" t="s">
        <v>1387</v>
      </c>
      <c r="C723" s="1410" t="s">
        <v>1561</v>
      </c>
      <c r="D723" s="1368" t="s">
        <v>226</v>
      </c>
      <c r="E723" s="1415"/>
      <c r="F723" s="1415"/>
      <c r="G723" s="1415"/>
      <c r="H723" s="1985">
        <f t="shared" si="16"/>
        <v>0</v>
      </c>
      <c r="I723" s="1416"/>
      <c r="M723" s="1349"/>
    </row>
    <row r="724" spans="2:13" ht="33.75">
      <c r="B724" s="1368" t="s">
        <v>906</v>
      </c>
      <c r="C724" s="1932" t="s">
        <v>1562</v>
      </c>
      <c r="D724" s="1368" t="s">
        <v>226</v>
      </c>
      <c r="E724" s="1415"/>
      <c r="F724" s="1415"/>
      <c r="G724" s="1415"/>
      <c r="H724" s="1985">
        <f t="shared" si="16"/>
        <v>0</v>
      </c>
      <c r="I724" s="1416"/>
      <c r="M724" s="1349"/>
    </row>
    <row r="725" spans="2:13" ht="33.75">
      <c r="B725" s="1368" t="s">
        <v>908</v>
      </c>
      <c r="C725" s="1932" t="s">
        <v>1563</v>
      </c>
      <c r="D725" s="1368" t="s">
        <v>226</v>
      </c>
      <c r="E725" s="1415"/>
      <c r="F725" s="1415"/>
      <c r="G725" s="1414">
        <f>'34 Расчет НВВ по RAB'!P21</f>
        <v>0</v>
      </c>
      <c r="H725" s="1985">
        <f t="shared" si="16"/>
        <v>0</v>
      </c>
      <c r="I725" s="1416"/>
      <c r="M725" s="1349"/>
    </row>
    <row r="726" spans="2:13" ht="22.5">
      <c r="B726" s="1368" t="s">
        <v>910</v>
      </c>
      <c r="C726" s="1932" t="s">
        <v>1564</v>
      </c>
      <c r="D726" s="1368" t="s">
        <v>226</v>
      </c>
      <c r="E726" s="1415"/>
      <c r="F726" s="1415"/>
      <c r="G726" s="1414">
        <f>'34 Расчет НВВ по RAB'!P23</f>
        <v>0</v>
      </c>
      <c r="H726" s="1985">
        <f t="shared" si="16"/>
        <v>0</v>
      </c>
      <c r="I726" s="1416"/>
      <c r="M726" s="1349"/>
    </row>
    <row r="727" spans="2:13" ht="22.5">
      <c r="B727" s="1368" t="s">
        <v>912</v>
      </c>
      <c r="C727" s="1932" t="s">
        <v>1565</v>
      </c>
      <c r="D727" s="1368" t="s">
        <v>226</v>
      </c>
      <c r="E727" s="1415"/>
      <c r="F727" s="1415"/>
      <c r="G727" s="1990">
        <f>G726+G722</f>
        <v>0</v>
      </c>
      <c r="H727" s="1985">
        <f t="shared" si="16"/>
        <v>0</v>
      </c>
      <c r="I727" s="1416"/>
      <c r="M727" s="1349"/>
    </row>
    <row r="728" spans="2:13" ht="22.5">
      <c r="B728" s="1368" t="s">
        <v>1322</v>
      </c>
      <c r="C728" s="1932" t="s">
        <v>1566</v>
      </c>
      <c r="D728" s="1368" t="s">
        <v>226</v>
      </c>
      <c r="E728" s="1415"/>
      <c r="F728" s="1415"/>
      <c r="G728" s="1414">
        <f>'34 Расчет НВВ по RAB'!P46</f>
        <v>0</v>
      </c>
      <c r="H728" s="1985">
        <f t="shared" si="16"/>
        <v>0</v>
      </c>
      <c r="I728" s="1416"/>
      <c r="M728" s="1349"/>
    </row>
    <row r="729" spans="2:13" ht="22.5">
      <c r="B729" s="1368" t="s">
        <v>1388</v>
      </c>
      <c r="C729" s="1932" t="s">
        <v>1567</v>
      </c>
      <c r="D729" s="1368" t="s">
        <v>226</v>
      </c>
      <c r="E729" s="1415"/>
      <c r="F729" s="1415"/>
      <c r="G729" s="1990">
        <f>G728+G722</f>
        <v>0</v>
      </c>
      <c r="H729" s="1985">
        <f t="shared" si="16"/>
        <v>0</v>
      </c>
      <c r="I729" s="1416"/>
      <c r="M729" s="1349"/>
    </row>
    <row r="730" spans="2:13" ht="33.75">
      <c r="B730" s="1368" t="s">
        <v>1568</v>
      </c>
      <c r="C730" s="1932" t="s">
        <v>1569</v>
      </c>
      <c r="D730" s="1368" t="s">
        <v>226</v>
      </c>
      <c r="E730" s="1415"/>
      <c r="F730" s="1415"/>
      <c r="G730" s="1415"/>
      <c r="H730" s="1985">
        <f t="shared" si="16"/>
        <v>0</v>
      </c>
      <c r="I730" s="1416"/>
      <c r="M730" s="1349"/>
    </row>
    <row r="731" spans="2:13" ht="33.75">
      <c r="B731" s="1368" t="s">
        <v>1570</v>
      </c>
      <c r="C731" s="1932" t="s">
        <v>1571</v>
      </c>
      <c r="D731" s="1368" t="s">
        <v>226</v>
      </c>
      <c r="E731" s="1415"/>
      <c r="F731" s="1415"/>
      <c r="G731" s="1415"/>
      <c r="H731" s="1985">
        <f t="shared" si="16"/>
        <v>0</v>
      </c>
      <c r="I731" s="1416"/>
      <c r="M731" s="1349"/>
    </row>
    <row r="732" spans="2:13" ht="22.5">
      <c r="B732" s="1368" t="s">
        <v>1572</v>
      </c>
      <c r="C732" s="1365" t="s">
        <v>1573</v>
      </c>
      <c r="D732" s="1421" t="s">
        <v>226</v>
      </c>
      <c r="E732" s="1415"/>
      <c r="F732" s="1415"/>
      <c r="G732" s="1414">
        <f>'34 Расчет НВВ по RAB'!P30</f>
        <v>0</v>
      </c>
      <c r="H732" s="1985">
        <f t="shared" si="16"/>
        <v>0</v>
      </c>
      <c r="I732" s="1416"/>
      <c r="M732" s="1349"/>
    </row>
    <row r="733" spans="2:13" ht="22.5">
      <c r="B733" s="1368" t="s">
        <v>1574</v>
      </c>
      <c r="C733" s="1365" t="s">
        <v>1575</v>
      </c>
      <c r="D733" s="1421" t="s">
        <v>226</v>
      </c>
      <c r="E733" s="1415"/>
      <c r="F733" s="1415"/>
      <c r="G733" s="1414">
        <f>'34 Расчет НВВ по RAB'!P44</f>
        <v>0</v>
      </c>
      <c r="H733" s="1985">
        <f t="shared" si="16"/>
        <v>0</v>
      </c>
      <c r="I733" s="1416"/>
      <c r="M733" s="1349"/>
    </row>
    <row r="734" spans="2:13" ht="15.75" customHeight="1">
      <c r="B734" s="1924" t="s">
        <v>1576</v>
      </c>
      <c r="C734" s="1359" t="s">
        <v>1577</v>
      </c>
      <c r="D734" s="1926" t="s">
        <v>226</v>
      </c>
      <c r="E734" s="1989">
        <f>SUM(E732:E733)</f>
        <v>0</v>
      </c>
      <c r="F734" s="1989">
        <f>SUM(F732:F733)</f>
        <v>0</v>
      </c>
      <c r="G734" s="1989">
        <f>SUM(G732:G733)</f>
        <v>0</v>
      </c>
      <c r="H734" s="1985">
        <f t="shared" si="16"/>
        <v>0</v>
      </c>
      <c r="I734" s="1416"/>
      <c r="M734" s="1349"/>
    </row>
    <row r="735" spans="2:13" ht="22.5">
      <c r="B735" s="1368" t="s">
        <v>1578</v>
      </c>
      <c r="C735" s="1365" t="s">
        <v>1579</v>
      </c>
      <c r="D735" s="1421" t="s">
        <v>226</v>
      </c>
      <c r="E735" s="1415"/>
      <c r="F735" s="1415"/>
      <c r="G735" s="1414">
        <f>'34 Расчет НВВ по RAB'!P52</f>
        <v>0</v>
      </c>
      <c r="H735" s="1985">
        <f t="shared" si="16"/>
        <v>0</v>
      </c>
      <c r="I735" s="1416"/>
      <c r="M735" s="1349"/>
    </row>
    <row r="736" spans="2:13" ht="22.5">
      <c r="B736" s="1368" t="s">
        <v>1580</v>
      </c>
      <c r="C736" s="1365" t="s">
        <v>1581</v>
      </c>
      <c r="D736" s="1421" t="s">
        <v>226</v>
      </c>
      <c r="E736" s="1415"/>
      <c r="F736" s="1415"/>
      <c r="G736" s="1414">
        <f>'34 Расчет НВВ по RAB'!P53</f>
        <v>0</v>
      </c>
      <c r="H736" s="1985">
        <f t="shared" si="16"/>
        <v>0</v>
      </c>
      <c r="I736" s="1416"/>
      <c r="M736" s="1349"/>
    </row>
    <row r="737" spans="2:13" ht="15.75" customHeight="1">
      <c r="B737" s="1924" t="s">
        <v>1582</v>
      </c>
      <c r="C737" s="1359" t="s">
        <v>1583</v>
      </c>
      <c r="D737" s="1926" t="s">
        <v>226</v>
      </c>
      <c r="E737" s="1989">
        <f>SUM(E735:E736)</f>
        <v>0</v>
      </c>
      <c r="F737" s="1989">
        <f>SUM(F735:F736)</f>
        <v>0</v>
      </c>
      <c r="G737" s="1989">
        <f>SUM(G735:G736)</f>
        <v>0</v>
      </c>
      <c r="H737" s="1985">
        <f t="shared" si="16"/>
        <v>0</v>
      </c>
      <c r="I737" s="1416"/>
      <c r="M737" s="1349"/>
    </row>
    <row r="738" spans="2:13" ht="15.75" customHeight="1">
      <c r="M738" s="1349"/>
    </row>
    <row r="739" spans="2:13">
      <c r="B739" s="2025" t="str">
        <f>CONCATENATE("При прогнозировании скорректированной величины возврата и дохода на инвестированный капитал на ",$F$4," год «Регулятор» руководствовался:")</f>
        <v>При прогнозировании скорректированной величины возврата и дохода на инвестированный капитал на 2024 год «Регулятор» руководствовался:</v>
      </c>
      <c r="C739" s="2025"/>
      <c r="D739" s="2025"/>
      <c r="E739" s="2025"/>
      <c r="F739" s="2025"/>
      <c r="G739" s="2025"/>
      <c r="H739" s="2025"/>
      <c r="I739" s="2025"/>
      <c r="J739" s="2025"/>
      <c r="K739" s="2025"/>
      <c r="M739" s="1349"/>
    </row>
    <row r="740" spans="2:13">
      <c r="B740" s="2026"/>
      <c r="C740" s="2026"/>
      <c r="D740" s="2026"/>
      <c r="E740" s="2026"/>
      <c r="F740" s="2026"/>
      <c r="G740" s="2026"/>
      <c r="H740" s="2026"/>
      <c r="I740" s="2026"/>
      <c r="J740" s="2026"/>
      <c r="K740" s="2026"/>
      <c r="M740" s="1349"/>
    </row>
    <row r="741" spans="2:13">
      <c r="B741" s="2026"/>
      <c r="C741" s="2026"/>
      <c r="D741" s="2026"/>
      <c r="E741" s="2026"/>
      <c r="F741" s="2026"/>
      <c r="G741" s="2026"/>
      <c r="H741" s="2026"/>
      <c r="I741" s="2026"/>
      <c r="J741" s="2026"/>
      <c r="K741" s="2026"/>
      <c r="M741" s="1349"/>
    </row>
    <row r="742" spans="2:13">
      <c r="B742" s="2026"/>
      <c r="C742" s="2026"/>
      <c r="D742" s="2026"/>
      <c r="E742" s="2026"/>
      <c r="F742" s="2026"/>
      <c r="G742" s="2026"/>
      <c r="H742" s="2026"/>
      <c r="I742" s="2026"/>
      <c r="J742" s="2026"/>
      <c r="K742" s="2026"/>
      <c r="M742" s="1349"/>
    </row>
    <row r="743" spans="2:13">
      <c r="B743" s="2025" t="str">
        <f>CONCATENATE("Корректировка предложения «Организации» на ",$F$4," год составила ",H734+H737,"   тыс. руб. на основании:")</f>
        <v>Корректировка предложения «Организации» на 2024 год составила 0   тыс. руб. на основании:</v>
      </c>
      <c r="C743" s="2025"/>
      <c r="D743" s="2025"/>
      <c r="E743" s="2025"/>
      <c r="F743" s="2025"/>
      <c r="G743" s="2025"/>
      <c r="H743" s="2025"/>
      <c r="I743" s="2025"/>
      <c r="J743" s="2025"/>
      <c r="K743" s="2025"/>
      <c r="M743" s="1349"/>
    </row>
    <row r="744" spans="2:13">
      <c r="B744" s="2026"/>
      <c r="C744" s="2026"/>
      <c r="D744" s="2026"/>
      <c r="E744" s="2026"/>
      <c r="F744" s="2026"/>
      <c r="G744" s="2026"/>
      <c r="H744" s="2026"/>
      <c r="I744" s="2026"/>
      <c r="J744" s="2026"/>
      <c r="K744" s="2026"/>
      <c r="M744" s="2044" t="s">
        <v>1412</v>
      </c>
    </row>
    <row r="745" spans="2:13">
      <c r="B745" s="2026"/>
      <c r="C745" s="2026"/>
      <c r="D745" s="2026"/>
      <c r="E745" s="2026"/>
      <c r="F745" s="2026"/>
      <c r="G745" s="2026"/>
      <c r="H745" s="2026"/>
      <c r="I745" s="2026"/>
      <c r="J745" s="2026"/>
      <c r="K745" s="2026"/>
      <c r="M745" s="2045"/>
    </row>
    <row r="746" spans="2:13">
      <c r="B746" s="2026"/>
      <c r="C746" s="2026"/>
      <c r="D746" s="2026"/>
      <c r="E746" s="2026"/>
      <c r="F746" s="2026"/>
      <c r="G746" s="2026"/>
      <c r="H746" s="2026"/>
      <c r="I746" s="2026"/>
      <c r="J746" s="2026"/>
      <c r="K746" s="2026"/>
      <c r="M746" s="2046"/>
    </row>
    <row r="747" spans="2:13">
      <c r="M747" s="1349"/>
    </row>
    <row r="748" spans="2:13" ht="15.75" customHeight="1">
      <c r="B748" s="2015" t="s">
        <v>1584</v>
      </c>
      <c r="C748" s="2015"/>
      <c r="D748" s="2015"/>
      <c r="E748" s="2015"/>
      <c r="F748" s="2015"/>
      <c r="G748" s="2015"/>
      <c r="H748" s="2015"/>
      <c r="I748" s="2015"/>
      <c r="J748" s="2015"/>
      <c r="K748" s="2015"/>
      <c r="M748" s="1349" t="s">
        <v>1310</v>
      </c>
    </row>
    <row r="749" spans="2:13">
      <c r="M749" s="1349"/>
    </row>
    <row r="750" spans="2:13">
      <c r="B750" s="2025" t="str">
        <f>CONCATENATE("При прогнозировании величины изменения НВВ, производимого в целях сглаживания роста тарифов на ",$F$4," год «Регулятор» руководствовался:")</f>
        <v>При прогнозировании величины изменения НВВ, производимого в целях сглаживания роста тарифов на 2024 год «Регулятор» руководствовался:</v>
      </c>
      <c r="C750" s="2025"/>
      <c r="D750" s="2025"/>
      <c r="E750" s="2025"/>
      <c r="F750" s="2025"/>
      <c r="G750" s="2025"/>
      <c r="H750" s="2025"/>
      <c r="I750" s="2025"/>
      <c r="J750" s="2025"/>
      <c r="K750" s="2025"/>
      <c r="M750" s="1349"/>
    </row>
    <row r="751" spans="2:13">
      <c r="B751" s="2026"/>
      <c r="C751" s="2026"/>
      <c r="D751" s="2026"/>
      <c r="E751" s="2026"/>
      <c r="F751" s="2026"/>
      <c r="G751" s="2026"/>
      <c r="H751" s="2026"/>
      <c r="I751" s="2026"/>
      <c r="J751" s="2026"/>
      <c r="K751" s="2026"/>
      <c r="M751" s="2044"/>
    </row>
    <row r="752" spans="2:13">
      <c r="B752" s="2026"/>
      <c r="C752" s="2026"/>
      <c r="D752" s="2026"/>
      <c r="E752" s="2026"/>
      <c r="F752" s="2026"/>
      <c r="G752" s="2026"/>
      <c r="H752" s="2026"/>
      <c r="I752" s="2026"/>
      <c r="J752" s="2026"/>
      <c r="K752" s="2026"/>
      <c r="M752" s="2045"/>
    </row>
    <row r="753" spans="2:13">
      <c r="B753" s="2026"/>
      <c r="C753" s="2026"/>
      <c r="D753" s="2026"/>
      <c r="E753" s="2026"/>
      <c r="F753" s="2026"/>
      <c r="G753" s="2026"/>
      <c r="H753" s="2026"/>
      <c r="I753" s="2026"/>
      <c r="J753" s="2026"/>
      <c r="K753" s="2026"/>
      <c r="M753" s="2046"/>
    </row>
    <row r="754" spans="2:13">
      <c r="B754" s="2025" t="s">
        <v>1585</v>
      </c>
      <c r="C754" s="2025"/>
      <c r="D754" s="2025"/>
      <c r="E754" s="2025"/>
      <c r="F754" s="2025"/>
      <c r="G754" s="2025"/>
      <c r="H754" s="2025"/>
      <c r="I754" s="2025"/>
      <c r="J754" s="2025"/>
      <c r="K754" s="2025"/>
      <c r="M754" s="1349" t="s">
        <v>1586</v>
      </c>
    </row>
    <row r="755" spans="2:13">
      <c r="M755" s="1349"/>
    </row>
    <row r="756" spans="2:13">
      <c r="M756" s="1349"/>
    </row>
    <row r="757" spans="2:13">
      <c r="I757" s="1910" t="s">
        <v>1541</v>
      </c>
      <c r="M757" s="1349"/>
    </row>
    <row r="758" spans="2:13">
      <c r="B758" s="1924" t="s">
        <v>12</v>
      </c>
      <c r="C758" s="1924" t="s">
        <v>954</v>
      </c>
      <c r="D758" s="1924" t="s">
        <v>262</v>
      </c>
      <c r="E758" s="1422">
        <f>B689</f>
        <v>2019</v>
      </c>
      <c r="F758" s="1422">
        <f>B690</f>
        <v>2020</v>
      </c>
      <c r="G758" s="1422">
        <f>B691</f>
        <v>2021</v>
      </c>
      <c r="H758" s="1422">
        <f>B692</f>
        <v>2022</v>
      </c>
      <c r="I758" s="1422">
        <f>B693</f>
        <v>2023</v>
      </c>
      <c r="M758" s="1349"/>
    </row>
    <row r="759" spans="2:13">
      <c r="B759" s="1420">
        <v>1</v>
      </c>
      <c r="C759" s="1367">
        <v>2</v>
      </c>
      <c r="D759" s="1367">
        <v>3</v>
      </c>
      <c r="E759" s="1367">
        <v>4</v>
      </c>
      <c r="F759" s="1367">
        <v>5</v>
      </c>
      <c r="G759" s="1367">
        <v>6</v>
      </c>
      <c r="H759" s="1367">
        <v>7</v>
      </c>
      <c r="I759" s="1367">
        <v>8</v>
      </c>
      <c r="M759" s="1349"/>
    </row>
    <row r="760" spans="2:13" ht="33.75">
      <c r="B760" s="1368" t="s">
        <v>234</v>
      </c>
      <c r="C760" s="1932" t="s">
        <v>1588</v>
      </c>
      <c r="D760" s="1368" t="s">
        <v>268</v>
      </c>
      <c r="E760" s="1364"/>
      <c r="F760" s="1364"/>
      <c r="G760" s="1364"/>
      <c r="H760" s="1364"/>
      <c r="I760" s="1364"/>
      <c r="M760" s="1349"/>
    </row>
    <row r="761" spans="2:13">
      <c r="B761" s="1368" t="s">
        <v>237</v>
      </c>
      <c r="C761" s="1932" t="s">
        <v>1589</v>
      </c>
      <c r="D761" s="1368" t="s">
        <v>226</v>
      </c>
      <c r="E761" s="1423"/>
      <c r="F761" s="1423"/>
      <c r="G761" s="1423"/>
      <c r="H761" s="1423"/>
      <c r="I761" s="1423"/>
      <c r="M761" s="1349"/>
    </row>
    <row r="762" spans="2:13" ht="22.5">
      <c r="B762" s="1368" t="s">
        <v>239</v>
      </c>
      <c r="C762" s="1932" t="s">
        <v>1590</v>
      </c>
      <c r="D762" s="1368" t="s">
        <v>226</v>
      </c>
      <c r="E762" s="1423"/>
      <c r="F762" s="1423"/>
      <c r="G762" s="1423"/>
      <c r="H762" s="1423"/>
      <c r="I762" s="1423"/>
      <c r="M762" s="1349"/>
    </row>
    <row r="763" spans="2:13">
      <c r="B763" s="1924" t="s">
        <v>242</v>
      </c>
      <c r="C763" s="1386" t="s">
        <v>1591</v>
      </c>
      <c r="D763" s="1924" t="s">
        <v>226</v>
      </c>
      <c r="E763" s="1423"/>
      <c r="F763" s="1423"/>
      <c r="G763" s="1423"/>
      <c r="H763" s="1423"/>
      <c r="I763" s="1423"/>
      <c r="M763" s="1349"/>
    </row>
    <row r="764" spans="2:13">
      <c r="B764" s="1368" t="s">
        <v>473</v>
      </c>
      <c r="C764" s="1424">
        <f>E758</f>
        <v>2019</v>
      </c>
      <c r="D764" s="1368" t="s">
        <v>226</v>
      </c>
      <c r="E764" s="1423"/>
      <c r="F764" s="1423"/>
      <c r="G764" s="1423"/>
      <c r="H764" s="1423"/>
      <c r="I764" s="1423"/>
      <c r="M764" s="1349"/>
    </row>
    <row r="765" spans="2:13">
      <c r="B765" s="1368" t="s">
        <v>481</v>
      </c>
      <c r="C765" s="1424">
        <f>F758</f>
        <v>2020</v>
      </c>
      <c r="D765" s="1368" t="s">
        <v>226</v>
      </c>
      <c r="E765" s="1423"/>
      <c r="F765" s="1423"/>
      <c r="G765" s="1423"/>
      <c r="H765" s="1423"/>
      <c r="I765" s="1423"/>
      <c r="M765" s="1349"/>
    </row>
    <row r="766" spans="2:13">
      <c r="B766" s="1368" t="s">
        <v>489</v>
      </c>
      <c r="C766" s="1424">
        <f>G758</f>
        <v>2021</v>
      </c>
      <c r="D766" s="1368" t="s">
        <v>226</v>
      </c>
      <c r="E766" s="1423"/>
      <c r="F766" s="1423"/>
      <c r="G766" s="1423"/>
      <c r="H766" s="1423"/>
      <c r="I766" s="1423"/>
      <c r="M766" s="1349"/>
    </row>
    <row r="767" spans="2:13">
      <c r="B767" s="1368" t="s">
        <v>1509</v>
      </c>
      <c r="C767" s="1424">
        <f>H758</f>
        <v>2022</v>
      </c>
      <c r="D767" s="1368" t="s">
        <v>226</v>
      </c>
      <c r="E767" s="1423"/>
      <c r="F767" s="1423"/>
      <c r="G767" s="1423"/>
      <c r="H767" s="1423"/>
      <c r="I767" s="1423"/>
      <c r="M767" s="1349"/>
    </row>
    <row r="768" spans="2:13">
      <c r="B768" s="1368" t="s">
        <v>1510</v>
      </c>
      <c r="C768" s="1424">
        <f>I758</f>
        <v>2023</v>
      </c>
      <c r="D768" s="1368" t="s">
        <v>226</v>
      </c>
      <c r="E768" s="1423"/>
      <c r="F768" s="1423"/>
      <c r="G768" s="1423"/>
      <c r="H768" s="1423"/>
      <c r="I768" s="1423"/>
      <c r="M768" s="1349"/>
    </row>
    <row r="769" spans="2:13">
      <c r="B769" s="1924" t="s">
        <v>899</v>
      </c>
      <c r="C769" s="1386" t="s">
        <v>1592</v>
      </c>
      <c r="D769" s="1924" t="s">
        <v>226</v>
      </c>
      <c r="E769" s="1361"/>
      <c r="F769" s="1361"/>
      <c r="G769" s="1361"/>
      <c r="H769" s="1361"/>
      <c r="I769" s="1361"/>
      <c r="M769" s="1349"/>
    </row>
    <row r="770" spans="2:13">
      <c r="B770" s="1924" t="s">
        <v>860</v>
      </c>
      <c r="C770" s="1386" t="s">
        <v>1593</v>
      </c>
      <c r="D770" s="1924" t="s">
        <v>226</v>
      </c>
      <c r="E770" s="1361"/>
      <c r="F770" s="1361"/>
      <c r="G770" s="1361"/>
      <c r="H770" s="1361"/>
      <c r="I770" s="1361"/>
      <c r="M770" s="1349"/>
    </row>
    <row r="771" spans="2:13" ht="22.5">
      <c r="B771" s="1368" t="s">
        <v>862</v>
      </c>
      <c r="C771" s="1932" t="s">
        <v>1594</v>
      </c>
      <c r="D771" s="1368" t="s">
        <v>226</v>
      </c>
      <c r="E771" s="1423"/>
      <c r="F771" s="1423"/>
      <c r="G771" s="1423"/>
      <c r="H771" s="1423"/>
      <c r="I771" s="1423"/>
      <c r="M771" s="1349"/>
    </row>
    <row r="772" spans="2:13" ht="22.5">
      <c r="B772" s="1368" t="s">
        <v>872</v>
      </c>
      <c r="C772" s="1932" t="s">
        <v>1595</v>
      </c>
      <c r="D772" s="1368" t="s">
        <v>226</v>
      </c>
      <c r="E772" s="1423"/>
      <c r="F772" s="1423"/>
      <c r="G772" s="1423"/>
      <c r="H772" s="1423"/>
      <c r="I772" s="1423"/>
      <c r="M772" s="1349"/>
    </row>
    <row r="773" spans="2:13">
      <c r="B773" s="1368" t="s">
        <v>904</v>
      </c>
      <c r="C773" s="1932" t="s">
        <v>1596</v>
      </c>
      <c r="D773" s="1368" t="s">
        <v>226</v>
      </c>
      <c r="E773" s="1423"/>
      <c r="F773" s="1423"/>
      <c r="G773" s="1423"/>
      <c r="H773" s="1423"/>
      <c r="I773" s="1423"/>
      <c r="M773" s="1349"/>
    </row>
    <row r="774" spans="2:13" ht="22.5">
      <c r="B774" s="1368" t="s">
        <v>906</v>
      </c>
      <c r="C774" s="1932" t="s">
        <v>1597</v>
      </c>
      <c r="D774" s="1368" t="s">
        <v>226</v>
      </c>
      <c r="E774" s="1423"/>
      <c r="F774" s="1423"/>
      <c r="G774" s="1423"/>
      <c r="H774" s="1423"/>
      <c r="I774" s="1423"/>
      <c r="M774" s="1349"/>
    </row>
    <row r="775" spans="2:13" ht="33.75">
      <c r="B775" s="1924" t="s">
        <v>908</v>
      </c>
      <c r="C775" s="1386" t="s">
        <v>1598</v>
      </c>
      <c r="D775" s="1924" t="s">
        <v>226</v>
      </c>
      <c r="E775" s="1361"/>
      <c r="F775" s="1361"/>
      <c r="G775" s="1361"/>
      <c r="H775" s="1361"/>
      <c r="I775" s="1361"/>
      <c r="M775" s="1349"/>
    </row>
    <row r="776" spans="2:13">
      <c r="B776" s="1367" t="s">
        <v>910</v>
      </c>
      <c r="C776" s="1405" t="s">
        <v>1599</v>
      </c>
      <c r="D776" s="1425"/>
      <c r="E776" s="1423"/>
      <c r="F776" s="1423"/>
      <c r="G776" s="1423"/>
      <c r="H776" s="1423"/>
      <c r="I776" s="1423"/>
      <c r="M776" s="1349"/>
    </row>
    <row r="777" spans="2:13">
      <c r="M777" s="1349"/>
    </row>
    <row r="778" spans="2:13">
      <c r="B778" s="2025" t="str">
        <f>CONCATENATE("Величина изменения НВВ, производимой в целях сглаживания роста тарифов в ",F4," году составляет ___ тыс. руб.")</f>
        <v>Величина изменения НВВ, производимой в целях сглаживания роста тарифов в 2024 году составляет ___ тыс. руб.</v>
      </c>
      <c r="C778" s="2025"/>
      <c r="D778" s="2025"/>
      <c r="E778" s="2025"/>
      <c r="F778" s="2025"/>
      <c r="G778" s="2025"/>
      <c r="H778" s="2025"/>
      <c r="I778" s="2025"/>
      <c r="J778" s="2025"/>
      <c r="K778" s="2025"/>
      <c r="M778" s="1349"/>
    </row>
    <row r="779" spans="2:13">
      <c r="M779" s="1349"/>
    </row>
    <row r="780" spans="2:13" ht="37.5" customHeight="1">
      <c r="B780" s="2015" t="str">
        <f>CONCATENATE("6.2.5. Корректировка НВВ «Организации» с учетом фактических показателей за ",F4-2," год")</f>
        <v>6.2.5. Корректировка НВВ «Организации» с учетом фактических показателей за 2022 год</v>
      </c>
      <c r="C780" s="2015"/>
      <c r="D780" s="2015"/>
      <c r="E780" s="2015"/>
      <c r="F780" s="2015"/>
      <c r="G780" s="2015"/>
      <c r="H780" s="2015"/>
      <c r="I780" s="2015"/>
      <c r="J780" s="2015"/>
      <c r="K780" s="2015"/>
      <c r="M780" s="1349"/>
    </row>
    <row r="781" spans="2:13" ht="15.75" customHeight="1">
      <c r="B781" s="2015" t="s">
        <v>1600</v>
      </c>
      <c r="C781" s="2015"/>
      <c r="D781" s="2015"/>
      <c r="E781" s="2015"/>
      <c r="F781" s="2015"/>
      <c r="G781" s="2015"/>
      <c r="H781" s="2015"/>
      <c r="I781" s="2015"/>
      <c r="J781" s="2015"/>
      <c r="K781" s="2015"/>
      <c r="M781" s="1349"/>
    </row>
    <row r="782" spans="2:13">
      <c r="M782" s="1349"/>
    </row>
    <row r="783" spans="2:13">
      <c r="M783" s="1349"/>
    </row>
    <row r="784" spans="2:13">
      <c r="J784" s="1910" t="s">
        <v>1549</v>
      </c>
      <c r="M784" s="1349"/>
    </row>
    <row r="785" spans="2:13" ht="67.5" customHeight="1">
      <c r="B785" s="1426" t="s">
        <v>12</v>
      </c>
      <c r="C785" s="1426" t="s">
        <v>954</v>
      </c>
      <c r="D785" s="1427" t="str">
        <f>CONCATENATE("Установленные плановые значения ПНиК на ",F4-2," год")</f>
        <v>Установленные плановые значения ПНиК на 2022 год</v>
      </c>
      <c r="E785" s="1427" t="str">
        <f>CONCATENATE("Фактические значения ПНиК за ",F4-2," год")</f>
        <v>Фактические значения ПНиК за 2022 год</v>
      </c>
      <c r="F785" s="1427" t="s">
        <v>1602</v>
      </c>
      <c r="G785" s="1427" t="str">
        <f>CONCATENATE("Оценка достижения показателя за отчетный ",F4-2," год")</f>
        <v>Оценка достижения показателя за отчетный 2022 год</v>
      </c>
      <c r="H785" s="1427" t="s">
        <v>1603</v>
      </c>
      <c r="I785" s="1427" t="str">
        <f>CONCATENATE("Обобщенный показатель уровня надежности и качества оказываемых услуг за ",F4-2," год")</f>
        <v>Обобщенный показатель уровня надежности и качества оказываемых услуг за 2022 год</v>
      </c>
      <c r="J785" s="1427" t="str">
        <f>CONCATENATE("Объем корректировки НВВ с учетом достижения ПНиК в ",F4-2," году (тыс. руб.)")</f>
        <v>Объем корректировки НВВ с учетом достижения ПНиК в 2022 году (тыс. руб.)</v>
      </c>
      <c r="M785" s="1349"/>
    </row>
    <row r="786" spans="2:13">
      <c r="B786" s="1367">
        <v>1</v>
      </c>
      <c r="C786" s="1367">
        <v>2</v>
      </c>
      <c r="D786" s="1367">
        <v>3</v>
      </c>
      <c r="E786" s="1367">
        <v>4</v>
      </c>
      <c r="F786" s="1367">
        <v>5</v>
      </c>
      <c r="G786" s="1367">
        <v>6</v>
      </c>
      <c r="H786" s="1367">
        <v>7</v>
      </c>
      <c r="I786" s="1367">
        <v>8</v>
      </c>
      <c r="J786" s="1367">
        <v>9</v>
      </c>
      <c r="M786" s="1349"/>
    </row>
    <row r="787" spans="2:13">
      <c r="B787" s="2152" t="s">
        <v>1604</v>
      </c>
      <c r="C787" s="2152"/>
      <c r="D787" s="2152"/>
      <c r="E787" s="2152"/>
      <c r="F787" s="2152"/>
      <c r="G787" s="2152"/>
      <c r="H787" s="2152"/>
      <c r="I787" s="2152"/>
      <c r="J787" s="2152"/>
      <c r="M787" s="1349"/>
    </row>
    <row r="788" spans="2:13" ht="22.5">
      <c r="B788" s="1921" t="s">
        <v>234</v>
      </c>
      <c r="C788" s="1922" t="s">
        <v>1605</v>
      </c>
      <c r="D788" s="1928"/>
      <c r="E788" s="1406"/>
      <c r="F788" s="2154"/>
      <c r="G788" s="1928"/>
      <c r="H788" s="1406"/>
      <c r="I788" s="2154"/>
      <c r="J788" s="2154"/>
      <c r="M788" s="1349"/>
    </row>
    <row r="789" spans="2:13" ht="22.5">
      <c r="B789" s="1921" t="s">
        <v>237</v>
      </c>
      <c r="C789" s="1922" t="s">
        <v>1606</v>
      </c>
      <c r="D789" s="1928"/>
      <c r="E789" s="1406"/>
      <c r="F789" s="2154"/>
      <c r="G789" s="1927"/>
      <c r="H789" s="1406"/>
      <c r="I789" s="2154"/>
      <c r="J789" s="2154"/>
      <c r="M789" s="1349"/>
    </row>
    <row r="790" spans="2:13" ht="22.5">
      <c r="B790" s="1921" t="s">
        <v>239</v>
      </c>
      <c r="C790" s="1922" t="s">
        <v>1607</v>
      </c>
      <c r="D790" s="1370"/>
      <c r="E790" s="1406"/>
      <c r="F790" s="2154"/>
      <c r="G790" s="1927"/>
      <c r="H790" s="1406"/>
      <c r="I790" s="2154"/>
      <c r="J790" s="2154"/>
      <c r="M790" s="1349"/>
    </row>
    <row r="791" spans="2:13">
      <c r="B791" s="2152" t="s">
        <v>1608</v>
      </c>
      <c r="C791" s="2152"/>
      <c r="D791" s="2152"/>
      <c r="E791" s="2152"/>
      <c r="F791" s="2152"/>
      <c r="G791" s="2152"/>
      <c r="H791" s="2152"/>
      <c r="I791" s="2152"/>
      <c r="J791" s="2152"/>
      <c r="M791" s="1349"/>
    </row>
    <row r="792" spans="2:13" ht="22.5">
      <c r="B792" s="1921" t="s">
        <v>234</v>
      </c>
      <c r="C792" s="1922" t="s">
        <v>1605</v>
      </c>
      <c r="D792" s="1370"/>
      <c r="E792" s="1406"/>
      <c r="F792" s="2153"/>
      <c r="G792" s="1927"/>
      <c r="H792" s="1406"/>
      <c r="I792" s="2153"/>
      <c r="J792" s="1927"/>
      <c r="M792" s="1349"/>
    </row>
    <row r="793" spans="2:13" ht="22.5">
      <c r="B793" s="1921" t="s">
        <v>237</v>
      </c>
      <c r="C793" s="1922" t="s">
        <v>1609</v>
      </c>
      <c r="D793" s="1370"/>
      <c r="E793" s="1406"/>
      <c r="F793" s="2153"/>
      <c r="G793" s="1927"/>
      <c r="H793" s="1406"/>
      <c r="I793" s="2153"/>
      <c r="J793" s="1927"/>
      <c r="M793" s="1349"/>
    </row>
    <row r="794" spans="2:13" ht="22.5">
      <c r="B794" s="1921" t="s">
        <v>239</v>
      </c>
      <c r="C794" s="1922" t="s">
        <v>1610</v>
      </c>
      <c r="D794" s="1370"/>
      <c r="E794" s="1406"/>
      <c r="F794" s="2153"/>
      <c r="G794" s="1927"/>
      <c r="H794" s="1406"/>
      <c r="I794" s="2153"/>
      <c r="J794" s="1927"/>
      <c r="M794" s="1349"/>
    </row>
    <row r="795" spans="2:13">
      <c r="B795" s="2152" t="s">
        <v>1611</v>
      </c>
      <c r="C795" s="2152"/>
      <c r="D795" s="2152"/>
      <c r="E795" s="2152"/>
      <c r="F795" s="2152"/>
      <c r="G795" s="2152"/>
      <c r="H795" s="2152"/>
      <c r="I795" s="2152"/>
      <c r="J795" s="2152"/>
      <c r="M795" s="1349"/>
    </row>
    <row r="796" spans="2:13" ht="22.5">
      <c r="B796" s="1921" t="s">
        <v>234</v>
      </c>
      <c r="C796" s="1922" t="s">
        <v>1612</v>
      </c>
      <c r="D796" s="1927"/>
      <c r="E796" s="1406"/>
      <c r="F796" s="2153"/>
      <c r="G796" s="1927"/>
      <c r="H796" s="1406"/>
      <c r="I796" s="2153"/>
      <c r="J796" s="1927"/>
      <c r="M796" s="1349"/>
    </row>
    <row r="797" spans="2:13" ht="22.5">
      <c r="B797" s="1921" t="s">
        <v>237</v>
      </c>
      <c r="C797" s="1922" t="s">
        <v>1613</v>
      </c>
      <c r="D797" s="1927"/>
      <c r="E797" s="1406"/>
      <c r="F797" s="2153"/>
      <c r="G797" s="1927"/>
      <c r="H797" s="1406"/>
      <c r="I797" s="2153"/>
      <c r="J797" s="1927"/>
      <c r="M797" s="1349"/>
    </row>
    <row r="798" spans="2:13" ht="22.5">
      <c r="B798" s="1921" t="s">
        <v>239</v>
      </c>
      <c r="C798" s="1922" t="s">
        <v>1609</v>
      </c>
      <c r="D798" s="1927"/>
      <c r="E798" s="1406"/>
      <c r="F798" s="2153"/>
      <c r="G798" s="1927"/>
      <c r="H798" s="1406"/>
      <c r="I798" s="2153"/>
      <c r="J798" s="1927"/>
      <c r="M798" s="1349"/>
    </row>
    <row r="799" spans="2:13" ht="45">
      <c r="B799" s="1921" t="s">
        <v>242</v>
      </c>
      <c r="C799" s="1922" t="s">
        <v>1614</v>
      </c>
      <c r="D799" s="1927"/>
      <c r="E799" s="1406"/>
      <c r="F799" s="2153"/>
      <c r="G799" s="1927"/>
      <c r="H799" s="1406"/>
      <c r="I799" s="2153"/>
      <c r="J799" s="1927"/>
      <c r="M799" s="1349"/>
    </row>
    <row r="800" spans="2:13">
      <c r="M800" s="1349"/>
    </row>
    <row r="801" spans="2:13" ht="54" customHeight="1">
      <c r="B801" s="2013" t="s">
        <v>1615</v>
      </c>
      <c r="C801" s="2013"/>
      <c r="D801" s="2013"/>
      <c r="E801" s="2013"/>
      <c r="F801" s="2013"/>
      <c r="G801" s="2013"/>
      <c r="H801" s="2013"/>
      <c r="I801" s="2013"/>
      <c r="J801" s="2013"/>
      <c r="M801" s="1349"/>
    </row>
    <row r="802" spans="2:13" ht="39" customHeight="1">
      <c r="B802" s="2013" t="str">
        <f>CONCATENATE("Документы, подтверждающие фактические значения показателей уровня надежности и качества оказываемых услуг за ",F4-2," год представлены «Регулятору» письмом «Организации» от __.__.20__ № ___.")</f>
        <v>Документы, подтверждающие фактические значения показателей уровня надежности и качества оказываемых услуг за 2022 год представлены «Регулятору» письмом «Организации» от __.__.20__ № ___.</v>
      </c>
      <c r="C802" s="2013"/>
      <c r="D802" s="2013"/>
      <c r="E802" s="2013"/>
      <c r="F802" s="2013"/>
      <c r="G802" s="2013"/>
      <c r="H802" s="2013"/>
      <c r="I802" s="2013"/>
      <c r="J802" s="2013"/>
      <c r="M802" s="1349"/>
    </row>
    <row r="803" spans="2:13" ht="39" customHeight="1">
      <c r="B803" s="2013" t="str">
        <f>CONCATENATE("При рассмотрении предложенных «Организацией» фактических значений показателей уровня надежности и качества оказываемых услуг за ",F4-2," год «Регулятором» произведены следующие корректировки:")</f>
        <v>При рассмотрении предложенных «Организацией» фактических значений показателей уровня надежности и качества оказываемых услуг за 2022 год «Регулятором» произведены следующие корректировки:</v>
      </c>
      <c r="C803" s="2013"/>
      <c r="D803" s="2013"/>
      <c r="E803" s="2013"/>
      <c r="F803" s="2013"/>
      <c r="G803" s="2013"/>
      <c r="H803" s="2013"/>
      <c r="I803" s="2013"/>
      <c r="J803" s="2013"/>
      <c r="M803" s="1349"/>
    </row>
    <row r="804" spans="2:13">
      <c r="B804" s="2026"/>
      <c r="C804" s="2026"/>
      <c r="D804" s="2026"/>
      <c r="E804" s="2026"/>
      <c r="F804" s="2026"/>
      <c r="G804" s="2026"/>
      <c r="H804" s="2026"/>
      <c r="I804" s="2026"/>
      <c r="J804" s="2026"/>
      <c r="K804" s="2026"/>
      <c r="M804" s="2044" t="s">
        <v>1412</v>
      </c>
    </row>
    <row r="805" spans="2:13">
      <c r="B805" s="2026"/>
      <c r="C805" s="2026"/>
      <c r="D805" s="2026"/>
      <c r="E805" s="2026"/>
      <c r="F805" s="2026"/>
      <c r="G805" s="2026"/>
      <c r="H805" s="2026"/>
      <c r="I805" s="2026"/>
      <c r="J805" s="2026"/>
      <c r="K805" s="2026"/>
      <c r="M805" s="2045"/>
    </row>
    <row r="806" spans="2:13">
      <c r="B806" s="2026"/>
      <c r="C806" s="2026"/>
      <c r="D806" s="2026"/>
      <c r="E806" s="2026"/>
      <c r="F806" s="2026"/>
      <c r="G806" s="2026"/>
      <c r="H806" s="2026"/>
      <c r="I806" s="2026"/>
      <c r="J806" s="2026"/>
      <c r="K806" s="2026"/>
      <c r="M806" s="2046"/>
    </row>
    <row r="807" spans="2:13">
      <c r="B807" s="2013" t="s">
        <v>1616</v>
      </c>
      <c r="C807" s="2013"/>
      <c r="D807" s="2013"/>
      <c r="E807" s="2013"/>
      <c r="F807" s="2013"/>
      <c r="G807" s="2013"/>
      <c r="H807" s="2013"/>
      <c r="I807" s="2013"/>
      <c r="J807" s="2013"/>
      <c r="M807" s="1349"/>
    </row>
    <row r="808" spans="2:13" ht="34.5" customHeight="1">
      <c r="B808" s="2013" t="s">
        <v>1617</v>
      </c>
      <c r="C808" s="2013"/>
      <c r="D808" s="2013"/>
      <c r="E808" s="2013"/>
      <c r="F808" s="2013"/>
      <c r="G808" s="2013"/>
      <c r="H808" s="2013"/>
      <c r="I808" s="2013"/>
      <c r="J808" s="2013"/>
      <c r="M808" s="1349"/>
    </row>
    <row r="809" spans="2:13">
      <c r="B809" s="2025" t="s">
        <v>1618</v>
      </c>
      <c r="C809" s="2025"/>
      <c r="D809" s="2025"/>
      <c r="E809" s="2025"/>
      <c r="F809" s="2025"/>
      <c r="G809" s="2025"/>
      <c r="H809" s="2025"/>
      <c r="I809" s="2025"/>
      <c r="J809" s="2025"/>
      <c r="K809" s="2025"/>
      <c r="M809" s="1349"/>
    </row>
    <row r="810" spans="2:13">
      <c r="B810" s="2026"/>
      <c r="C810" s="2026"/>
      <c r="D810" s="2026"/>
      <c r="E810" s="2026"/>
      <c r="F810" s="2026"/>
      <c r="G810" s="2026"/>
      <c r="H810" s="2026"/>
      <c r="I810" s="2026"/>
      <c r="J810" s="2026"/>
      <c r="K810" s="2026"/>
      <c r="M810" s="2044" t="s">
        <v>1412</v>
      </c>
    </row>
    <row r="811" spans="2:13">
      <c r="B811" s="2026"/>
      <c r="C811" s="2026"/>
      <c r="D811" s="2026"/>
      <c r="E811" s="2026"/>
      <c r="F811" s="2026"/>
      <c r="G811" s="2026"/>
      <c r="H811" s="2026"/>
      <c r="I811" s="2026"/>
      <c r="J811" s="2026"/>
      <c r="K811" s="2026"/>
      <c r="M811" s="2045"/>
    </row>
    <row r="812" spans="2:13">
      <c r="B812" s="2026"/>
      <c r="C812" s="2026"/>
      <c r="D812" s="2026"/>
      <c r="E812" s="2026"/>
      <c r="F812" s="2026"/>
      <c r="G812" s="2026"/>
      <c r="H812" s="2026"/>
      <c r="I812" s="2026"/>
      <c r="J812" s="2026"/>
      <c r="K812" s="2026"/>
      <c r="M812" s="2046"/>
    </row>
    <row r="813" spans="2:13">
      <c r="M813" s="1349"/>
    </row>
    <row r="814" spans="2:13" ht="15.75" customHeight="1">
      <c r="B814" s="2015" t="str">
        <f>CONCATENATE("6.2.5.2. Дополнительные доходы, полученные по факту ",F4-2," года вследствие взыскания стоимости выявленного бездоговорного потребления электроэнергии.")</f>
        <v>6.2.5.2. Дополнительные доходы, полученные по факту 2022 года вследствие взыскания стоимости выявленного бездоговорного потребления электроэнергии.</v>
      </c>
      <c r="C814" s="2015"/>
      <c r="D814" s="2015"/>
      <c r="E814" s="2015"/>
      <c r="F814" s="2015"/>
      <c r="G814" s="2015"/>
      <c r="H814" s="2015"/>
      <c r="I814" s="2015"/>
      <c r="J814" s="2015"/>
      <c r="K814" s="2015"/>
      <c r="M814" s="1349"/>
    </row>
    <row r="815" spans="2:13">
      <c r="B815" s="2025"/>
      <c r="C815" s="2025"/>
      <c r="D815" s="2025"/>
      <c r="E815" s="2025"/>
      <c r="F815" s="2025"/>
      <c r="G815" s="2025"/>
      <c r="H815" s="2025"/>
      <c r="I815" s="2025"/>
      <c r="J815" s="2025"/>
      <c r="K815" s="2025"/>
      <c r="M815" s="1349"/>
    </row>
    <row r="816" spans="2:13" ht="49.5" customHeight="1">
      <c r="B816" s="2025" t="s">
        <v>1619</v>
      </c>
      <c r="C816" s="2025"/>
      <c r="D816" s="2025"/>
      <c r="E816" s="2025"/>
      <c r="F816" s="2025"/>
      <c r="G816" s="2025"/>
      <c r="H816" s="2025"/>
      <c r="I816" s="2025"/>
      <c r="J816" s="2025"/>
      <c r="K816" s="2025"/>
      <c r="M816" s="1349"/>
    </row>
    <row r="817" spans="2:23">
      <c r="B817" s="2025" t="s">
        <v>1620</v>
      </c>
      <c r="C817" s="2025"/>
      <c r="D817" s="2025"/>
      <c r="E817" s="2025"/>
      <c r="F817" s="2025"/>
      <c r="G817" s="2025"/>
      <c r="H817" s="2025"/>
      <c r="I817" s="2025"/>
      <c r="J817" s="2025"/>
      <c r="K817" s="2025"/>
      <c r="M817" s="1349"/>
    </row>
    <row r="818" spans="2:23">
      <c r="B818" s="2025" t="s">
        <v>1618</v>
      </c>
      <c r="C818" s="2025"/>
      <c r="D818" s="2025"/>
      <c r="E818" s="2025"/>
      <c r="F818" s="2025"/>
      <c r="G818" s="2025"/>
      <c r="H818" s="2025"/>
      <c r="I818" s="2025"/>
      <c r="J818" s="2025"/>
      <c r="K818" s="2025"/>
      <c r="M818" s="1349"/>
    </row>
    <row r="819" spans="2:23">
      <c r="B819" s="2026"/>
      <c r="C819" s="2026"/>
      <c r="D819" s="2026"/>
      <c r="E819" s="2026"/>
      <c r="F819" s="2026"/>
      <c r="G819" s="2026"/>
      <c r="H819" s="2026"/>
      <c r="I819" s="2026"/>
      <c r="J819" s="2026"/>
      <c r="K819" s="2026"/>
      <c r="M819" s="2044" t="s">
        <v>1412</v>
      </c>
    </row>
    <row r="820" spans="2:23">
      <c r="B820" s="2026"/>
      <c r="C820" s="2026"/>
      <c r="D820" s="2026"/>
      <c r="E820" s="2026"/>
      <c r="F820" s="2026"/>
      <c r="G820" s="2026"/>
      <c r="H820" s="2026"/>
      <c r="I820" s="2026"/>
      <c r="J820" s="2026"/>
      <c r="K820" s="2026"/>
      <c r="M820" s="2045"/>
    </row>
    <row r="821" spans="2:23">
      <c r="B821" s="2026"/>
      <c r="C821" s="2026"/>
      <c r="D821" s="2026"/>
      <c r="E821" s="2026"/>
      <c r="F821" s="2026"/>
      <c r="G821" s="2026"/>
      <c r="H821" s="2026"/>
      <c r="I821" s="2026"/>
      <c r="J821" s="2026"/>
      <c r="K821" s="2026"/>
      <c r="M821" s="2046"/>
    </row>
    <row r="822" spans="2:23">
      <c r="M822" s="1349"/>
    </row>
    <row r="823" spans="2:23" ht="33" customHeight="1">
      <c r="B823" s="2015" t="s">
        <v>1621</v>
      </c>
      <c r="C823" s="2015"/>
      <c r="D823" s="2015"/>
      <c r="E823" s="2015"/>
      <c r="F823" s="2015"/>
      <c r="G823" s="2015"/>
      <c r="H823" s="2015"/>
      <c r="I823" s="2015"/>
      <c r="J823" s="2015"/>
      <c r="K823" s="2015"/>
      <c r="M823" s="1349" t="s">
        <v>1622</v>
      </c>
    </row>
    <row r="825" spans="2:23" ht="15.75">
      <c r="B825" s="2003" t="s">
        <v>81</v>
      </c>
      <c r="C825" s="2003"/>
      <c r="D825" s="2003"/>
      <c r="E825" s="2003"/>
      <c r="F825" s="2003"/>
      <c r="G825" s="2003"/>
      <c r="H825" s="2003"/>
      <c r="I825" s="2003"/>
      <c r="J825" s="2003"/>
      <c r="K825" s="2003"/>
      <c r="N825" s="2003" t="s">
        <v>81</v>
      </c>
      <c r="O825" s="2003"/>
      <c r="P825" s="2003"/>
      <c r="Q825" s="2003"/>
      <c r="R825" s="2003"/>
      <c r="S825" s="2003"/>
      <c r="T825" s="2003"/>
      <c r="U825" s="2003"/>
      <c r="V825" s="2003"/>
      <c r="W825" s="2003"/>
    </row>
    <row r="826" spans="2:23" ht="18">
      <c r="B826" s="1485" t="s">
        <v>1896</v>
      </c>
      <c r="K826" s="1910" t="s">
        <v>1587</v>
      </c>
      <c r="N826" s="1485" t="s">
        <v>1895</v>
      </c>
      <c r="V826" s="1909" t="str">
        <f>K826</f>
        <v>Таблица 27</v>
      </c>
    </row>
    <row r="827" spans="2:23">
      <c r="B827" s="2037" t="s">
        <v>12</v>
      </c>
      <c r="C827" s="2037" t="s">
        <v>1624</v>
      </c>
      <c r="D827" s="2037" t="s">
        <v>1242</v>
      </c>
      <c r="E827" s="2037"/>
      <c r="F827" s="2037"/>
      <c r="G827" s="2037"/>
      <c r="H827" s="2037"/>
      <c r="I827" s="2062" t="str">
        <f>CONCATENATE($F$4," год")</f>
        <v>2024 год</v>
      </c>
      <c r="J827" s="2063"/>
      <c r="K827" s="2064"/>
      <c r="N827" s="2052" t="s">
        <v>12</v>
      </c>
      <c r="O827" s="2052" t="s">
        <v>1624</v>
      </c>
      <c r="P827" s="2052" t="s">
        <v>1242</v>
      </c>
      <c r="Q827" s="2052"/>
      <c r="R827" s="2052"/>
      <c r="S827" s="2052"/>
      <c r="T827" s="2062" t="str">
        <f>CONCATENATE($F$4," год")</f>
        <v>2024 год</v>
      </c>
      <c r="U827" s="2063"/>
      <c r="V827" s="2064"/>
    </row>
    <row r="828" spans="2:23" ht="22.5">
      <c r="B828" s="2037"/>
      <c r="C828" s="2037"/>
      <c r="D828" s="2037"/>
      <c r="E828" s="2037"/>
      <c r="F828" s="2037"/>
      <c r="G828" s="2037"/>
      <c r="H828" s="2037"/>
      <c r="I828" s="1930" t="s">
        <v>1330</v>
      </c>
      <c r="J828" s="1930" t="s">
        <v>1290</v>
      </c>
      <c r="K828" s="1419" t="s">
        <v>263</v>
      </c>
      <c r="N828" s="2052"/>
      <c r="O828" s="2052"/>
      <c r="P828" s="2052"/>
      <c r="Q828" s="2052"/>
      <c r="R828" s="2052"/>
      <c r="S828" s="2052"/>
      <c r="T828" s="1930" t="s">
        <v>1330</v>
      </c>
      <c r="U828" s="1930" t="s">
        <v>1290</v>
      </c>
      <c r="V828" s="1419" t="s">
        <v>263</v>
      </c>
    </row>
    <row r="829" spans="2:23">
      <c r="B829" s="1905">
        <v>1</v>
      </c>
      <c r="C829" s="1905">
        <v>2</v>
      </c>
      <c r="D829" s="2054">
        <v>3</v>
      </c>
      <c r="E829" s="2054"/>
      <c r="F829" s="2054"/>
      <c r="G829" s="2054"/>
      <c r="H829" s="2054"/>
      <c r="I829" s="1428">
        <v>4</v>
      </c>
      <c r="J829" s="1428" t="s">
        <v>822</v>
      </c>
      <c r="K829" s="1428" t="s">
        <v>1550</v>
      </c>
      <c r="N829" s="1680">
        <v>1</v>
      </c>
      <c r="O829" s="1902">
        <v>2</v>
      </c>
      <c r="P829" s="2060">
        <v>3</v>
      </c>
      <c r="Q829" s="2060"/>
      <c r="R829" s="2060"/>
      <c r="S829" s="2060"/>
      <c r="T829" s="1428">
        <v>4</v>
      </c>
      <c r="U829" s="1428" t="s">
        <v>822</v>
      </c>
      <c r="V829" s="1428" t="s">
        <v>1550</v>
      </c>
    </row>
    <row r="830" spans="2:23" ht="46.5" customHeight="1">
      <c r="B830" s="2088" t="s">
        <v>234</v>
      </c>
      <c r="C830" s="2088" t="s">
        <v>1625</v>
      </c>
      <c r="D830" s="2056" t="s">
        <v>1626</v>
      </c>
      <c r="E830" s="2056"/>
      <c r="F830" s="2056"/>
      <c r="G830" s="2056"/>
      <c r="H830" s="2056"/>
      <c r="I830" s="2057">
        <f>(I834+I841)*(1+I832)*(1+I833)</f>
        <v>0</v>
      </c>
      <c r="J830" s="2057">
        <f>(J834+J841)*(1+J832)*(1+J833)</f>
        <v>0</v>
      </c>
      <c r="K830" s="2155">
        <f>IFERROR(J830-I830,"-")</f>
        <v>0</v>
      </c>
      <c r="N830" s="1901" t="s">
        <v>234</v>
      </c>
      <c r="O830" s="1901" t="s">
        <v>1944</v>
      </c>
      <c r="P830" s="2053" t="s">
        <v>1945</v>
      </c>
      <c r="Q830" s="2053"/>
      <c r="R830" s="2053"/>
      <c r="S830" s="2053"/>
      <c r="T830" s="1903" t="e">
        <f>T833*(1+T831)*(1+T832)</f>
        <v>#DIV/0!</v>
      </c>
      <c r="U830" s="1903" t="e">
        <f>U833*(1+U831)*(1+U832)</f>
        <v>#DIV/0!</v>
      </c>
      <c r="V830" s="1903" t="str">
        <f t="shared" ref="V830:V843" si="17">IFERROR(U830-T830,"-")</f>
        <v>-</v>
      </c>
    </row>
    <row r="831" spans="2:23" ht="33.75" customHeight="1">
      <c r="B831" s="2088"/>
      <c r="C831" s="2088"/>
      <c r="D831" s="2037" t="s">
        <v>1627</v>
      </c>
      <c r="E831" s="2037"/>
      <c r="F831" s="2037"/>
      <c r="G831" s="2037"/>
      <c r="H831" s="2037"/>
      <c r="I831" s="2058"/>
      <c r="J831" s="2058"/>
      <c r="K831" s="2156"/>
      <c r="N831" s="2095" t="s">
        <v>1628</v>
      </c>
      <c r="O831" s="2095"/>
      <c r="P831" s="2095"/>
      <c r="Q831" s="2095"/>
      <c r="R831" s="2095"/>
      <c r="S831" s="1905" t="s">
        <v>1629</v>
      </c>
      <c r="T831" s="1945">
        <f>'39 ИПЦ'!G8</f>
        <v>0</v>
      </c>
      <c r="U831" s="1945">
        <f>'39 ИПЦ'!G12</f>
        <v>0</v>
      </c>
      <c r="V831" s="1945">
        <f t="shared" si="17"/>
        <v>0</v>
      </c>
    </row>
    <row r="832" spans="2:23">
      <c r="B832" s="1898"/>
      <c r="C832" s="2095" t="s">
        <v>1628</v>
      </c>
      <c r="D832" s="2095"/>
      <c r="E832" s="2095"/>
      <c r="F832" s="2095"/>
      <c r="G832" s="2095"/>
      <c r="H832" s="1905" t="s">
        <v>1629</v>
      </c>
      <c r="I832" s="1988">
        <f>'39 ИПЦ'!G8</f>
        <v>0</v>
      </c>
      <c r="J832" s="1988">
        <f>'39 ИПЦ'!G12</f>
        <v>0</v>
      </c>
      <c r="K832" s="1987">
        <f>IFERROR(J832-I832,"-")</f>
        <v>0</v>
      </c>
      <c r="N832" s="2095" t="s">
        <v>1630</v>
      </c>
      <c r="O832" s="2095"/>
      <c r="P832" s="2095"/>
      <c r="Q832" s="2095"/>
      <c r="R832" s="2095"/>
      <c r="S832" s="1905" t="s">
        <v>1629</v>
      </c>
      <c r="T832" s="1945">
        <f>'39 ИПЦ'!H7</f>
        <v>0</v>
      </c>
      <c r="U832" s="1945">
        <f>'39 ИПЦ'!H10</f>
        <v>0</v>
      </c>
      <c r="V832" s="1945">
        <f t="shared" si="17"/>
        <v>0</v>
      </c>
    </row>
    <row r="833" spans="2:22" ht="22.5" customHeight="1">
      <c r="B833" s="1898"/>
      <c r="C833" s="2095" t="s">
        <v>1630</v>
      </c>
      <c r="D833" s="2095"/>
      <c r="E833" s="2095"/>
      <c r="F833" s="2095"/>
      <c r="G833" s="2095"/>
      <c r="H833" s="1905" t="s">
        <v>1629</v>
      </c>
      <c r="I833" s="1988">
        <f>'39 ИПЦ'!H7</f>
        <v>0</v>
      </c>
      <c r="J833" s="1988">
        <f>'39 ИПЦ'!H10</f>
        <v>0</v>
      </c>
      <c r="K833" s="1987">
        <f>IFERROR(J833-I833,"-")</f>
        <v>0</v>
      </c>
      <c r="N833" s="1901" t="s">
        <v>267</v>
      </c>
      <c r="O833" s="1901" t="s">
        <v>1946</v>
      </c>
      <c r="P833" s="2053" t="s">
        <v>1947</v>
      </c>
      <c r="Q833" s="2053"/>
      <c r="R833" s="2053"/>
      <c r="S833" s="2053"/>
      <c r="T833" s="1903" t="e">
        <f>T834+T835+T836-T837</f>
        <v>#DIV/0!</v>
      </c>
      <c r="U833" s="1903" t="e">
        <f>U834+U835+U836-U837</f>
        <v>#DIV/0!</v>
      </c>
      <c r="V833" s="1903" t="str">
        <f t="shared" si="17"/>
        <v>-</v>
      </c>
    </row>
    <row r="834" spans="2:22" ht="22.5" customHeight="1">
      <c r="B834" s="2088" t="s">
        <v>267</v>
      </c>
      <c r="C834" s="2088" t="s">
        <v>1631</v>
      </c>
      <c r="D834" s="2056" t="s">
        <v>1626</v>
      </c>
      <c r="E834" s="2056"/>
      <c r="F834" s="2056"/>
      <c r="G834" s="2056"/>
      <c r="H834" s="2056"/>
      <c r="I834" s="2057">
        <f>(I836+I837+I838+I839+I840)</f>
        <v>0</v>
      </c>
      <c r="J834" s="2057">
        <f>(J836+J837+J838+J839+J840)</f>
        <v>0</v>
      </c>
      <c r="K834" s="2155">
        <f>IFERROR(J834-I834,"-")</f>
        <v>0</v>
      </c>
      <c r="N834" s="1908" t="s">
        <v>608</v>
      </c>
      <c r="O834" s="1908" t="s">
        <v>1948</v>
      </c>
      <c r="P834" s="2035" t="s">
        <v>1939</v>
      </c>
      <c r="Q834" s="2035"/>
      <c r="R834" s="2035"/>
      <c r="S834" s="2035"/>
      <c r="T834" s="1674">
        <f>U929</f>
        <v>0</v>
      </c>
      <c r="U834" s="1674">
        <f>V929</f>
        <v>0</v>
      </c>
      <c r="V834" s="1674">
        <f t="shared" si="17"/>
        <v>0</v>
      </c>
    </row>
    <row r="835" spans="2:22" ht="22.5" customHeight="1">
      <c r="B835" s="2088"/>
      <c r="C835" s="2088"/>
      <c r="D835" s="2037" t="s">
        <v>1632</v>
      </c>
      <c r="E835" s="2037"/>
      <c r="F835" s="2037"/>
      <c r="G835" s="2037"/>
      <c r="H835" s="2037"/>
      <c r="I835" s="2058"/>
      <c r="J835" s="2058"/>
      <c r="K835" s="2156"/>
      <c r="N835" s="1908" t="s">
        <v>611</v>
      </c>
      <c r="O835" s="1908" t="s">
        <v>1949</v>
      </c>
      <c r="P835" s="2035" t="s">
        <v>1940</v>
      </c>
      <c r="Q835" s="2035"/>
      <c r="R835" s="2035"/>
      <c r="S835" s="2035"/>
      <c r="T835" s="1674" t="e">
        <f>U861</f>
        <v>#DIV/0!</v>
      </c>
      <c r="U835" s="1674" t="e">
        <f>V861</f>
        <v>#DIV/0!</v>
      </c>
      <c r="V835" s="1674" t="str">
        <f t="shared" si="17"/>
        <v>-</v>
      </c>
    </row>
    <row r="836" spans="2:22" ht="22.5" customHeight="1">
      <c r="B836" s="1429" t="s">
        <v>608</v>
      </c>
      <c r="C836" s="1429" t="s">
        <v>1633</v>
      </c>
      <c r="D836" s="2076" t="s">
        <v>1634</v>
      </c>
      <c r="E836" s="2076"/>
      <c r="F836" s="2076"/>
      <c r="G836" s="2076"/>
      <c r="H836" s="2076"/>
      <c r="I836" s="1953">
        <f>I861</f>
        <v>0</v>
      </c>
      <c r="J836" s="1953">
        <f>J861</f>
        <v>0</v>
      </c>
      <c r="K836" s="1985">
        <f t="shared" ref="K836:K845" si="18">IFERROR(J836-I836,"-")</f>
        <v>0</v>
      </c>
      <c r="N836" s="1908" t="s">
        <v>1941</v>
      </c>
      <c r="O836" s="1908" t="s">
        <v>1950</v>
      </c>
      <c r="P836" s="2035" t="s">
        <v>1951</v>
      </c>
      <c r="Q836" s="2035"/>
      <c r="R836" s="2035"/>
      <c r="S836" s="2035"/>
      <c r="T836" s="1674">
        <f>S888</f>
        <v>0</v>
      </c>
      <c r="U836" s="1674">
        <f>V888</f>
        <v>0</v>
      </c>
      <c r="V836" s="1674">
        <f t="shared" si="17"/>
        <v>0</v>
      </c>
    </row>
    <row r="837" spans="2:22" ht="22.5" customHeight="1">
      <c r="B837" s="1429" t="s">
        <v>611</v>
      </c>
      <c r="C837" s="1429" t="s">
        <v>1635</v>
      </c>
      <c r="D837" s="2076" t="s">
        <v>1636</v>
      </c>
      <c r="E837" s="2076"/>
      <c r="F837" s="2076"/>
      <c r="G837" s="2076"/>
      <c r="H837" s="2076"/>
      <c r="I837" s="1953">
        <f>G888</f>
        <v>0</v>
      </c>
      <c r="J837" s="1953">
        <f>J888</f>
        <v>0</v>
      </c>
      <c r="K837" s="1985">
        <f t="shared" si="18"/>
        <v>0</v>
      </c>
      <c r="N837" s="1908" t="s">
        <v>1942</v>
      </c>
      <c r="O837" s="1908" t="s">
        <v>1952</v>
      </c>
      <c r="P837" s="2035" t="s">
        <v>1943</v>
      </c>
      <c r="Q837" s="2035"/>
      <c r="R837" s="2035"/>
      <c r="S837" s="2035"/>
      <c r="T837" s="1674">
        <f>U946</f>
        <v>0</v>
      </c>
      <c r="U837" s="1674">
        <f>V946</f>
        <v>0</v>
      </c>
      <c r="V837" s="1674">
        <f t="shared" si="17"/>
        <v>0</v>
      </c>
    </row>
    <row r="838" spans="2:22" ht="36.75" customHeight="1">
      <c r="B838" s="1429" t="s">
        <v>614</v>
      </c>
      <c r="C838" s="1429" t="s">
        <v>1637</v>
      </c>
      <c r="D838" s="2076" t="s">
        <v>1638</v>
      </c>
      <c r="E838" s="2076"/>
      <c r="F838" s="2076"/>
      <c r="G838" s="2076"/>
      <c r="H838" s="2076"/>
      <c r="I838" s="1953">
        <f>I929</f>
        <v>0</v>
      </c>
      <c r="J838" s="1953">
        <f>J929</f>
        <v>0</v>
      </c>
      <c r="K838" s="1985">
        <f t="shared" si="18"/>
        <v>0</v>
      </c>
      <c r="N838" s="1901" t="s">
        <v>237</v>
      </c>
      <c r="O838" s="1901" t="s">
        <v>1953</v>
      </c>
      <c r="P838" s="2053" t="s">
        <v>1954</v>
      </c>
      <c r="Q838" s="2053"/>
      <c r="R838" s="2053"/>
      <c r="S838" s="2053"/>
      <c r="T838" s="1903">
        <f>U995</f>
        <v>0</v>
      </c>
      <c r="U838" s="1903">
        <f>V995</f>
        <v>0</v>
      </c>
      <c r="V838" s="1903">
        <f t="shared" si="17"/>
        <v>0</v>
      </c>
    </row>
    <row r="839" spans="2:22" ht="27.75" customHeight="1">
      <c r="B839" s="1429" t="s">
        <v>616</v>
      </c>
      <c r="C839" s="1429" t="s">
        <v>1639</v>
      </c>
      <c r="D839" s="2076" t="s">
        <v>1640</v>
      </c>
      <c r="E839" s="2076"/>
      <c r="F839" s="2076"/>
      <c r="G839" s="2076"/>
      <c r="H839" s="2076"/>
      <c r="I839" s="1953">
        <f>I946</f>
        <v>0</v>
      </c>
      <c r="J839" s="1953">
        <f>J946</f>
        <v>0</v>
      </c>
      <c r="K839" s="1985">
        <f t="shared" si="18"/>
        <v>0</v>
      </c>
      <c r="N839" s="1901" t="s">
        <v>239</v>
      </c>
      <c r="O839" s="1901" t="s">
        <v>1644</v>
      </c>
      <c r="P839" s="2053" t="s">
        <v>1645</v>
      </c>
      <c r="Q839" s="2053"/>
      <c r="R839" s="2053"/>
      <c r="S839" s="2053"/>
      <c r="T839" s="1675"/>
      <c r="U839" s="1675"/>
      <c r="V839" s="1903">
        <f t="shared" si="17"/>
        <v>0</v>
      </c>
    </row>
    <row r="840" spans="2:22" ht="30" customHeight="1">
      <c r="B840" s="1429" t="s">
        <v>618</v>
      </c>
      <c r="C840" s="1898" t="s">
        <v>1641</v>
      </c>
      <c r="D840" s="2076" t="s">
        <v>1642</v>
      </c>
      <c r="E840" s="2076"/>
      <c r="F840" s="2076"/>
      <c r="G840" s="2076"/>
      <c r="H840" s="2076"/>
      <c r="I840" s="1953">
        <f>I966</f>
        <v>0</v>
      </c>
      <c r="J840" s="1953">
        <f>J966</f>
        <v>0</v>
      </c>
      <c r="K840" s="1985">
        <f t="shared" si="18"/>
        <v>0</v>
      </c>
      <c r="N840" s="1901" t="s">
        <v>242</v>
      </c>
      <c r="O840" s="1901" t="s">
        <v>1646</v>
      </c>
      <c r="P840" s="2092" t="s">
        <v>1647</v>
      </c>
      <c r="Q840" s="2093"/>
      <c r="R840" s="2093"/>
      <c r="S840" s="2094"/>
      <c r="T840" s="1675"/>
      <c r="U840" s="1675"/>
      <c r="V840" s="1903">
        <f t="shared" si="17"/>
        <v>0</v>
      </c>
    </row>
    <row r="841" spans="2:22" ht="27.75" customHeight="1">
      <c r="B841" s="1906" t="s">
        <v>269</v>
      </c>
      <c r="C841" s="1906" t="s">
        <v>1643</v>
      </c>
      <c r="D841" s="2056" t="s">
        <v>1597</v>
      </c>
      <c r="E841" s="2056"/>
      <c r="F841" s="2056"/>
      <c r="G841" s="2056"/>
      <c r="H841" s="2056"/>
      <c r="I841" s="1950">
        <f>I995</f>
        <v>0</v>
      </c>
      <c r="J841" s="1950">
        <f>J995</f>
        <v>0</v>
      </c>
      <c r="K841" s="1985">
        <f t="shared" si="18"/>
        <v>0</v>
      </c>
      <c r="N841" s="1901" t="s">
        <v>899</v>
      </c>
      <c r="O841" s="1901" t="s">
        <v>1648</v>
      </c>
      <c r="P841" s="2092" t="s">
        <v>1955</v>
      </c>
      <c r="Q841" s="2093"/>
      <c r="R841" s="2093"/>
      <c r="S841" s="2094"/>
      <c r="T841" s="1675"/>
      <c r="U841" s="1675"/>
      <c r="V841" s="1903">
        <f t="shared" si="17"/>
        <v>0</v>
      </c>
    </row>
    <row r="842" spans="2:22" ht="27.75" customHeight="1">
      <c r="B842" s="1906" t="s">
        <v>237</v>
      </c>
      <c r="C842" s="1906" t="s">
        <v>1644</v>
      </c>
      <c r="D842" s="2056" t="s">
        <v>1645</v>
      </c>
      <c r="E842" s="2056"/>
      <c r="F842" s="2056"/>
      <c r="G842" s="2056"/>
      <c r="H842" s="2056"/>
      <c r="I842" s="1382"/>
      <c r="J842" s="1382"/>
      <c r="K842" s="1985">
        <f t="shared" si="18"/>
        <v>0</v>
      </c>
      <c r="N842" s="1901" t="s">
        <v>860</v>
      </c>
      <c r="O842" s="1901" t="s">
        <v>1956</v>
      </c>
      <c r="P842" s="2092" t="s">
        <v>1957</v>
      </c>
      <c r="Q842" s="2093"/>
      <c r="R842" s="2093"/>
      <c r="S842" s="2094"/>
      <c r="T842" s="1903">
        <f>I966</f>
        <v>0</v>
      </c>
      <c r="U842" s="1903">
        <f>J966</f>
        <v>0</v>
      </c>
      <c r="V842" s="1903">
        <f t="shared" si="17"/>
        <v>0</v>
      </c>
    </row>
    <row r="843" spans="2:22" ht="27.75" customHeight="1">
      <c r="B843" s="1906" t="s">
        <v>239</v>
      </c>
      <c r="C843" s="1906" t="s">
        <v>1646</v>
      </c>
      <c r="D843" s="2056" t="s">
        <v>1647</v>
      </c>
      <c r="E843" s="2056"/>
      <c r="F843" s="2056"/>
      <c r="G843" s="2056"/>
      <c r="H843" s="2056"/>
      <c r="I843" s="1382"/>
      <c r="J843" s="1382"/>
      <c r="K843" s="1985">
        <f t="shared" si="18"/>
        <v>0</v>
      </c>
      <c r="N843" s="1901" t="s">
        <v>862</v>
      </c>
      <c r="O843" s="1901" t="s">
        <v>1650</v>
      </c>
      <c r="P843" s="2053" t="s">
        <v>1958</v>
      </c>
      <c r="Q843" s="2053"/>
      <c r="R843" s="2053"/>
      <c r="S843" s="2053"/>
      <c r="T843" s="1903" t="e">
        <f>T830+T838-T839+T840-T841+T842</f>
        <v>#DIV/0!</v>
      </c>
      <c r="U843" s="1903" t="e">
        <f>U830+U838-U839+U840-U841+U842</f>
        <v>#DIV/0!</v>
      </c>
      <c r="V843" s="1903" t="str">
        <f t="shared" si="17"/>
        <v>-</v>
      </c>
    </row>
    <row r="844" spans="2:22" ht="27.75" customHeight="1">
      <c r="B844" s="1906" t="s">
        <v>242</v>
      </c>
      <c r="C844" s="1906" t="s">
        <v>1648</v>
      </c>
      <c r="D844" s="2056" t="s">
        <v>1649</v>
      </c>
      <c r="E844" s="2056"/>
      <c r="F844" s="2056"/>
      <c r="G844" s="2056"/>
      <c r="H844" s="2056"/>
      <c r="I844" s="1382"/>
      <c r="J844" s="1382"/>
      <c r="K844" s="1985">
        <f t="shared" si="18"/>
        <v>0</v>
      </c>
    </row>
    <row r="845" spans="2:22" ht="27.75" customHeight="1">
      <c r="B845" s="1906" t="s">
        <v>899</v>
      </c>
      <c r="C845" s="1897" t="s">
        <v>1650</v>
      </c>
      <c r="D845" s="2056" t="s">
        <v>1651</v>
      </c>
      <c r="E845" s="2056"/>
      <c r="F845" s="2056"/>
      <c r="G845" s="2056"/>
      <c r="H845" s="2056"/>
      <c r="I845" s="1950">
        <f>I830-I842+I843-I844</f>
        <v>0</v>
      </c>
      <c r="J845" s="1950">
        <f>J830-J842+J843-J844</f>
        <v>0</v>
      </c>
      <c r="K845" s="1985">
        <f t="shared" si="18"/>
        <v>0</v>
      </c>
    </row>
    <row r="847" spans="2:22" ht="49.5" customHeight="1">
      <c r="B847" s="2025" t="s">
        <v>1652</v>
      </c>
      <c r="C847" s="2025"/>
      <c r="D847" s="2025"/>
      <c r="E847" s="2025"/>
      <c r="F847" s="2025"/>
      <c r="G847" s="2025"/>
      <c r="H847" s="2025"/>
      <c r="I847" s="2025"/>
      <c r="J847" s="2025"/>
      <c r="K847" s="2025"/>
    </row>
    <row r="848" spans="2:22">
      <c r="B848" s="2025" t="s">
        <v>1653</v>
      </c>
      <c r="C848" s="2025"/>
      <c r="D848" s="2025"/>
      <c r="E848" s="2025"/>
      <c r="F848" s="2025"/>
      <c r="G848" s="2025"/>
      <c r="H848" s="2025"/>
      <c r="I848" s="2025"/>
      <c r="J848" s="2025"/>
      <c r="K848" s="2025"/>
    </row>
    <row r="849" spans="2:23">
      <c r="B849" s="2025" t="str">
        <f>CONCATENATE("Корректировка предложения «Организации» на ",$F$4," год составила ",K845,"   тыс. руб. на основании:")</f>
        <v>Корректировка предложения «Организации» на 2024 год составила 0   тыс. руб. на основании:</v>
      </c>
      <c r="C849" s="2025"/>
      <c r="D849" s="2025"/>
      <c r="E849" s="2025"/>
      <c r="F849" s="2025"/>
      <c r="G849" s="2025"/>
      <c r="H849" s="2025"/>
      <c r="I849" s="2025"/>
      <c r="J849" s="2025"/>
      <c r="K849" s="2025"/>
    </row>
    <row r="850" spans="2:23">
      <c r="B850" s="2026"/>
      <c r="C850" s="2026"/>
      <c r="D850" s="2026"/>
      <c r="E850" s="2026"/>
      <c r="F850" s="2026"/>
      <c r="G850" s="2026"/>
      <c r="H850" s="2026"/>
      <c r="I850" s="2026"/>
      <c r="J850" s="2026"/>
      <c r="K850" s="2026"/>
      <c r="M850" s="2044" t="s">
        <v>1412</v>
      </c>
    </row>
    <row r="851" spans="2:23">
      <c r="B851" s="2026"/>
      <c r="C851" s="2026"/>
      <c r="D851" s="2026"/>
      <c r="E851" s="2026"/>
      <c r="F851" s="2026"/>
      <c r="G851" s="2026"/>
      <c r="H851" s="2026"/>
      <c r="I851" s="2026"/>
      <c r="J851" s="2026"/>
      <c r="K851" s="2026"/>
      <c r="M851" s="2045"/>
    </row>
    <row r="852" spans="2:23">
      <c r="B852" s="2026"/>
      <c r="C852" s="2026"/>
      <c r="D852" s="2026"/>
      <c r="E852" s="2026"/>
      <c r="F852" s="2026"/>
      <c r="G852" s="2026"/>
      <c r="H852" s="2026"/>
      <c r="I852" s="2026"/>
      <c r="J852" s="2026"/>
      <c r="K852" s="2026"/>
      <c r="M852" s="2046"/>
    </row>
    <row r="853" spans="2:23" ht="15.75" customHeight="1"/>
    <row r="854" spans="2:23" ht="33" customHeight="1">
      <c r="B854" s="2015" t="s">
        <v>1654</v>
      </c>
      <c r="C854" s="2015"/>
      <c r="D854" s="2015"/>
      <c r="E854" s="2015"/>
      <c r="F854" s="2015"/>
      <c r="G854" s="2015"/>
      <c r="H854" s="2015"/>
      <c r="I854" s="2015"/>
      <c r="J854" s="2015"/>
      <c r="K854" s="2015"/>
      <c r="N854" s="2015" t="s">
        <v>1959</v>
      </c>
      <c r="O854" s="2015"/>
      <c r="P854" s="2015"/>
      <c r="Q854" s="2015"/>
      <c r="R854" s="2015"/>
      <c r="S854" s="2015"/>
      <c r="T854" s="2015"/>
      <c r="U854" s="2015"/>
      <c r="V854" s="2015"/>
      <c r="W854" s="2015"/>
    </row>
    <row r="855" spans="2:23" ht="15.75" customHeight="1"/>
    <row r="856" spans="2:23" ht="15.75" customHeight="1">
      <c r="B856" s="2003" t="s">
        <v>1655</v>
      </c>
      <c r="C856" s="2003"/>
      <c r="D856" s="2003"/>
      <c r="E856" s="2003"/>
      <c r="F856" s="2003"/>
      <c r="G856" s="2003"/>
      <c r="H856" s="2003"/>
      <c r="I856" s="2003"/>
      <c r="J856" s="2003"/>
      <c r="K856" s="2003"/>
      <c r="N856" s="2003" t="s">
        <v>1967</v>
      </c>
      <c r="O856" s="2003"/>
      <c r="P856" s="2003"/>
      <c r="Q856" s="2003"/>
      <c r="R856" s="2003"/>
      <c r="S856" s="2003"/>
      <c r="T856" s="2003"/>
      <c r="U856" s="2003"/>
      <c r="V856" s="2003"/>
      <c r="W856" s="2003"/>
    </row>
    <row r="857" spans="2:23" ht="15.75" customHeight="1">
      <c r="B857" s="1485" t="s">
        <v>1896</v>
      </c>
      <c r="K857" s="1910" t="s">
        <v>1601</v>
      </c>
      <c r="N857" s="1485" t="s">
        <v>1895</v>
      </c>
      <c r="W857" s="1909" t="str">
        <f>K857</f>
        <v>Таблица 28</v>
      </c>
    </row>
    <row r="858" spans="2:23" ht="15.75" customHeight="1">
      <c r="B858" s="2037" t="s">
        <v>12</v>
      </c>
      <c r="C858" s="2037" t="s">
        <v>1624</v>
      </c>
      <c r="D858" s="2037" t="s">
        <v>954</v>
      </c>
      <c r="E858" s="2037"/>
      <c r="F858" s="2037"/>
      <c r="G858" s="2037"/>
      <c r="H858" s="2037" t="s">
        <v>262</v>
      </c>
      <c r="I858" s="2062" t="str">
        <f>CONCATENATE($F$4," год")</f>
        <v>2024 год</v>
      </c>
      <c r="J858" s="2063"/>
      <c r="K858" s="2064"/>
      <c r="N858" s="2052" t="s">
        <v>12</v>
      </c>
      <c r="O858" s="2052" t="s">
        <v>1960</v>
      </c>
      <c r="P858" s="2052" t="s">
        <v>954</v>
      </c>
      <c r="Q858" s="2052"/>
      <c r="R858" s="2052"/>
      <c r="S858" s="2052"/>
      <c r="T858" s="2052" t="s">
        <v>262</v>
      </c>
      <c r="U858" s="2048" t="str">
        <f>CONCATENATE($F$4," год")</f>
        <v>2024 год</v>
      </c>
      <c r="V858" s="2048"/>
      <c r="W858" s="2048"/>
    </row>
    <row r="859" spans="2:23" ht="22.5" customHeight="1">
      <c r="B859" s="2037"/>
      <c r="C859" s="2037"/>
      <c r="D859" s="2037"/>
      <c r="E859" s="2037"/>
      <c r="F859" s="2037"/>
      <c r="G859" s="2037"/>
      <c r="H859" s="2037"/>
      <c r="I859" s="1930" t="s">
        <v>1330</v>
      </c>
      <c r="J859" s="1930" t="s">
        <v>1290</v>
      </c>
      <c r="K859" s="1419" t="s">
        <v>263</v>
      </c>
      <c r="N859" s="2052"/>
      <c r="O859" s="2052"/>
      <c r="P859" s="2052"/>
      <c r="Q859" s="2052"/>
      <c r="R859" s="2052"/>
      <c r="S859" s="2052"/>
      <c r="T859" s="2052"/>
      <c r="U859" s="1930" t="s">
        <v>1330</v>
      </c>
      <c r="V859" s="1930" t="s">
        <v>1290</v>
      </c>
      <c r="W859" s="1419" t="s">
        <v>263</v>
      </c>
    </row>
    <row r="860" spans="2:23" ht="15.75" customHeight="1">
      <c r="B860" s="1905">
        <v>1</v>
      </c>
      <c r="C860" s="1905">
        <v>2</v>
      </c>
      <c r="D860" s="2054">
        <v>3</v>
      </c>
      <c r="E860" s="2054"/>
      <c r="F860" s="2054"/>
      <c r="G860" s="2054"/>
      <c r="H860" s="1428">
        <v>4</v>
      </c>
      <c r="I860" s="1428" t="s">
        <v>822</v>
      </c>
      <c r="J860" s="1428" t="s">
        <v>824</v>
      </c>
      <c r="K860" s="1428" t="s">
        <v>1657</v>
      </c>
      <c r="N860" s="1902">
        <v>1</v>
      </c>
      <c r="O860" s="1902">
        <v>2</v>
      </c>
      <c r="P860" s="2060">
        <v>3</v>
      </c>
      <c r="Q860" s="2060"/>
      <c r="R860" s="2060"/>
      <c r="S860" s="2060"/>
      <c r="T860" s="1902">
        <v>4</v>
      </c>
      <c r="U860" s="1428" t="s">
        <v>822</v>
      </c>
      <c r="V860" s="1428" t="s">
        <v>824</v>
      </c>
      <c r="W860" s="1428" t="s">
        <v>1657</v>
      </c>
    </row>
    <row r="861" spans="2:23" ht="36" customHeight="1">
      <c r="B861" s="2037" t="s">
        <v>234</v>
      </c>
      <c r="C861" s="2037" t="s">
        <v>2251</v>
      </c>
      <c r="D861" s="2056" t="s">
        <v>1658</v>
      </c>
      <c r="E861" s="2056"/>
      <c r="F861" s="2056"/>
      <c r="G861" s="2056"/>
      <c r="H861" s="2037" t="s">
        <v>226</v>
      </c>
      <c r="I861" s="2057">
        <f>I863*(1-I865)*(1+I866)*(1+I867*I868)-I864</f>
        <v>0</v>
      </c>
      <c r="J861" s="2057">
        <f>J863*(1-J865)*(1+J866)*(1+J867*J868)-J864</f>
        <v>0</v>
      </c>
      <c r="K861" s="2155">
        <f>IFERROR(J861-I861,"-")</f>
        <v>0</v>
      </c>
      <c r="N861" s="2052" t="s">
        <v>234</v>
      </c>
      <c r="O861" s="2052" t="s">
        <v>1968</v>
      </c>
      <c r="P861" s="2053" t="s">
        <v>1961</v>
      </c>
      <c r="Q861" s="2053"/>
      <c r="R861" s="2053"/>
      <c r="S861" s="2053"/>
      <c r="T861" s="2052" t="s">
        <v>226</v>
      </c>
      <c r="U861" s="2065" t="e">
        <f>U863*(U865-U864)</f>
        <v>#DIV/0!</v>
      </c>
      <c r="V861" s="2065" t="e">
        <f>V863*(V865-V864)</f>
        <v>#DIV/0!</v>
      </c>
      <c r="W861" s="2065" t="str">
        <f t="shared" ref="W861:W873" si="19">IFERROR(V861-U861,"-")</f>
        <v>-</v>
      </c>
    </row>
    <row r="862" spans="2:23" ht="15.75" customHeight="1">
      <c r="B862" s="2037"/>
      <c r="C862" s="2037"/>
      <c r="D862" s="2037" t="s">
        <v>2254</v>
      </c>
      <c r="E862" s="2037"/>
      <c r="F862" s="2037"/>
      <c r="G862" s="2037"/>
      <c r="H862" s="2037"/>
      <c r="I862" s="2058"/>
      <c r="J862" s="2058"/>
      <c r="K862" s="2156"/>
      <c r="N862" s="2052"/>
      <c r="O862" s="2052"/>
      <c r="P862" s="2052" t="s">
        <v>1969</v>
      </c>
      <c r="Q862" s="2052"/>
      <c r="R862" s="2052"/>
      <c r="S862" s="2052"/>
      <c r="T862" s="2052"/>
      <c r="U862" s="2065"/>
      <c r="V862" s="2065"/>
      <c r="W862" s="2065">
        <f t="shared" si="19"/>
        <v>0</v>
      </c>
    </row>
    <row r="863" spans="2:23" ht="15.75" customHeight="1">
      <c r="B863" s="1429" t="s">
        <v>237</v>
      </c>
      <c r="C863" s="1429" t="s">
        <v>1659</v>
      </c>
      <c r="D863" s="2076" t="s">
        <v>1660</v>
      </c>
      <c r="E863" s="2076"/>
      <c r="F863" s="2076"/>
      <c r="G863" s="2076"/>
      <c r="H863" s="1898" t="s">
        <v>226</v>
      </c>
      <c r="I863" s="1431"/>
      <c r="J863" s="1431"/>
      <c r="K863" s="1985">
        <f t="shared" ref="K863:K868" si="20">IFERROR(J863-I863,"-")</f>
        <v>0</v>
      </c>
      <c r="N863" s="1672" t="s">
        <v>237</v>
      </c>
      <c r="O863" s="1672" t="s">
        <v>1970</v>
      </c>
      <c r="P863" s="2035" t="s">
        <v>1971</v>
      </c>
      <c r="Q863" s="2035"/>
      <c r="R863" s="2035"/>
      <c r="S863" s="2035"/>
      <c r="T863" s="1908" t="s">
        <v>226</v>
      </c>
      <c r="U863" s="1673"/>
      <c r="V863" s="1673"/>
      <c r="W863" s="1674">
        <f t="shared" si="19"/>
        <v>0</v>
      </c>
    </row>
    <row r="864" spans="2:23" ht="15.75" customHeight="1">
      <c r="B864" s="1429" t="s">
        <v>239</v>
      </c>
      <c r="C864" s="1429" t="s">
        <v>2252</v>
      </c>
      <c r="D864" s="2076" t="s">
        <v>2253</v>
      </c>
      <c r="E864" s="2076"/>
      <c r="F864" s="2076"/>
      <c r="G864" s="2076"/>
      <c r="H864" s="1898" t="s">
        <v>226</v>
      </c>
      <c r="I864" s="1431"/>
      <c r="J864" s="1431"/>
      <c r="K864" s="1985">
        <f t="shared" si="20"/>
        <v>0</v>
      </c>
      <c r="N864" s="1672" t="s">
        <v>239</v>
      </c>
      <c r="O864" s="1672" t="s">
        <v>1972</v>
      </c>
      <c r="P864" s="2035" t="s">
        <v>1973</v>
      </c>
      <c r="Q864" s="2035"/>
      <c r="R864" s="2035"/>
      <c r="S864" s="2035"/>
      <c r="T864" s="1908" t="s">
        <v>1666</v>
      </c>
      <c r="U864" s="1677"/>
      <c r="V864" s="1677"/>
      <c r="W864" s="1907">
        <f t="shared" si="19"/>
        <v>0</v>
      </c>
    </row>
    <row r="865" spans="2:23" ht="31.5" customHeight="1">
      <c r="B865" s="1429" t="s">
        <v>242</v>
      </c>
      <c r="C865" s="1429" t="s">
        <v>1661</v>
      </c>
      <c r="D865" s="2076" t="s">
        <v>1662</v>
      </c>
      <c r="E865" s="2076"/>
      <c r="F865" s="2076"/>
      <c r="G865" s="2076"/>
      <c r="H865" s="1898" t="s">
        <v>268</v>
      </c>
      <c r="I865" s="1430"/>
      <c r="J865" s="1430"/>
      <c r="K865" s="1985">
        <f t="shared" si="20"/>
        <v>0</v>
      </c>
      <c r="N865" s="2091" t="s">
        <v>242</v>
      </c>
      <c r="O865" s="2091" t="s">
        <v>1974</v>
      </c>
      <c r="P865" s="2035" t="s">
        <v>1975</v>
      </c>
      <c r="Q865" s="2035"/>
      <c r="R865" s="2035"/>
      <c r="S865" s="2035"/>
      <c r="T865" s="2091" t="s">
        <v>1962</v>
      </c>
      <c r="U865" s="2089" t="e">
        <f>(1-U867)*(1+U868)*(1+U869*U870)</f>
        <v>#DIV/0!</v>
      </c>
      <c r="V865" s="2089" t="e">
        <f>(1-V867)*(1+V868)*(1+V869*V870)</f>
        <v>#DIV/0!</v>
      </c>
      <c r="W865" s="2089" t="str">
        <f t="shared" si="19"/>
        <v>-</v>
      </c>
    </row>
    <row r="866" spans="2:23" ht="15.75" customHeight="1">
      <c r="B866" s="1429" t="s">
        <v>899</v>
      </c>
      <c r="C866" s="1429" t="s">
        <v>2249</v>
      </c>
      <c r="D866" s="2076" t="s">
        <v>2250</v>
      </c>
      <c r="E866" s="2076"/>
      <c r="F866" s="2076"/>
      <c r="G866" s="2076"/>
      <c r="H866" s="1898" t="s">
        <v>268</v>
      </c>
      <c r="I866" s="1430"/>
      <c r="J866" s="1430"/>
      <c r="K866" s="1985">
        <f t="shared" si="20"/>
        <v>0</v>
      </c>
      <c r="N866" s="2091"/>
      <c r="O866" s="2091"/>
      <c r="P866" s="2091" t="s">
        <v>1976</v>
      </c>
      <c r="Q866" s="2091"/>
      <c r="R866" s="2091"/>
      <c r="S866" s="2091"/>
      <c r="T866" s="2091"/>
      <c r="U866" s="2089"/>
      <c r="V866" s="2089"/>
      <c r="W866" s="2089">
        <f t="shared" si="19"/>
        <v>0</v>
      </c>
    </row>
    <row r="867" spans="2:23" ht="15.75" customHeight="1">
      <c r="B867" s="1429" t="s">
        <v>860</v>
      </c>
      <c r="C867" s="1429" t="s">
        <v>1664</v>
      </c>
      <c r="D867" s="2076" t="s">
        <v>1665</v>
      </c>
      <c r="E867" s="2076"/>
      <c r="F867" s="2076"/>
      <c r="G867" s="2076"/>
      <c r="H867" s="1898" t="s">
        <v>1666</v>
      </c>
      <c r="I867" s="1431"/>
      <c r="J867" s="1431"/>
      <c r="K867" s="1985">
        <f t="shared" si="20"/>
        <v>0</v>
      </c>
      <c r="N867" s="1672" t="s">
        <v>899</v>
      </c>
      <c r="O867" s="1672" t="s">
        <v>1977</v>
      </c>
      <c r="P867" s="2035" t="s">
        <v>1978</v>
      </c>
      <c r="Q867" s="2035"/>
      <c r="R867" s="2035"/>
      <c r="S867" s="2035"/>
      <c r="T867" s="1908" t="s">
        <v>268</v>
      </c>
      <c r="U867" s="1946"/>
      <c r="V867" s="1946"/>
      <c r="W867" s="1945">
        <f t="shared" si="19"/>
        <v>0</v>
      </c>
    </row>
    <row r="868" spans="2:23" ht="15.75" customHeight="1">
      <c r="B868" s="2047" t="s">
        <v>862</v>
      </c>
      <c r="C868" s="2047" t="s">
        <v>2247</v>
      </c>
      <c r="D868" s="2076" t="s">
        <v>1668</v>
      </c>
      <c r="E868" s="2076"/>
      <c r="F868" s="2076"/>
      <c r="G868" s="2076"/>
      <c r="H868" s="2047" t="s">
        <v>268</v>
      </c>
      <c r="I868" s="2157">
        <f>IFERROR((I870-I871)/I871,0)</f>
        <v>0</v>
      </c>
      <c r="J868" s="2157">
        <f>IFERROR((J870-J871)/J871,0)</f>
        <v>0</v>
      </c>
      <c r="K868" s="2155">
        <f t="shared" si="20"/>
        <v>0</v>
      </c>
      <c r="N868" s="1672" t="s">
        <v>860</v>
      </c>
      <c r="O868" s="1672" t="s">
        <v>1663</v>
      </c>
      <c r="P868" s="2035" t="s">
        <v>1979</v>
      </c>
      <c r="Q868" s="2035"/>
      <c r="R868" s="2035"/>
      <c r="S868" s="2035"/>
      <c r="T868" s="1908" t="s">
        <v>1629</v>
      </c>
      <c r="U868" s="1946"/>
      <c r="V868" s="1946"/>
      <c r="W868" s="1945">
        <f t="shared" si="19"/>
        <v>0</v>
      </c>
    </row>
    <row r="869" spans="2:23" ht="15.75" customHeight="1">
      <c r="B869" s="2047"/>
      <c r="C869" s="2047"/>
      <c r="D869" s="2047" t="s">
        <v>2248</v>
      </c>
      <c r="E869" s="2047"/>
      <c r="F869" s="2047"/>
      <c r="G869" s="2047"/>
      <c r="H869" s="2047"/>
      <c r="I869" s="2158"/>
      <c r="J869" s="2158"/>
      <c r="K869" s="2156"/>
      <c r="N869" s="1672" t="s">
        <v>862</v>
      </c>
      <c r="O869" s="1672" t="s">
        <v>1664</v>
      </c>
      <c r="P869" s="2035" t="s">
        <v>1963</v>
      </c>
      <c r="Q869" s="2035"/>
      <c r="R869" s="2035"/>
      <c r="S869" s="2035"/>
      <c r="T869" s="1908" t="s">
        <v>1666</v>
      </c>
      <c r="U869" s="1678"/>
      <c r="V869" s="1678"/>
      <c r="W869" s="1676">
        <f t="shared" si="19"/>
        <v>0</v>
      </c>
    </row>
    <row r="870" spans="2:23" ht="15.75" customHeight="1">
      <c r="B870" s="1429" t="s">
        <v>865</v>
      </c>
      <c r="C870" s="1429" t="s">
        <v>2244</v>
      </c>
      <c r="D870" s="2076" t="s">
        <v>2245</v>
      </c>
      <c r="E870" s="2076"/>
      <c r="F870" s="2076"/>
      <c r="G870" s="2076"/>
      <c r="H870" s="1898" t="s">
        <v>1670</v>
      </c>
      <c r="I870" s="1986">
        <f>'5. уе свод'!R39</f>
        <v>0</v>
      </c>
      <c r="J870" s="1986">
        <f>'5. уе свод'!X39</f>
        <v>0</v>
      </c>
      <c r="K870" s="1985">
        <f>IFERROR(J870-I870,"-")</f>
        <v>0</v>
      </c>
      <c r="N870" s="2091" t="s">
        <v>872</v>
      </c>
      <c r="O870" s="2091" t="s">
        <v>1667</v>
      </c>
      <c r="P870" s="2035" t="s">
        <v>1964</v>
      </c>
      <c r="Q870" s="2035"/>
      <c r="R870" s="2035"/>
      <c r="S870" s="2035"/>
      <c r="T870" s="2091" t="s">
        <v>1629</v>
      </c>
      <c r="U870" s="2090" t="e">
        <f>(U872-U873)/U873</f>
        <v>#DIV/0!</v>
      </c>
      <c r="V870" s="2090" t="e">
        <f>(V872-V873)/V873</f>
        <v>#DIV/0!</v>
      </c>
      <c r="W870" s="2090" t="str">
        <f t="shared" si="19"/>
        <v>-</v>
      </c>
    </row>
    <row r="871" spans="2:23" ht="15.75" customHeight="1">
      <c r="B871" s="1429" t="s">
        <v>866</v>
      </c>
      <c r="C871" s="1429" t="s">
        <v>1669</v>
      </c>
      <c r="D871" s="2076" t="s">
        <v>2246</v>
      </c>
      <c r="E871" s="2076"/>
      <c r="F871" s="2076"/>
      <c r="G871" s="2076"/>
      <c r="H871" s="1898" t="s">
        <v>1672</v>
      </c>
      <c r="I871" s="1986">
        <f>'5. уе свод'!R38</f>
        <v>0</v>
      </c>
      <c r="J871" s="1986">
        <f>'5. уе свод'!X38</f>
        <v>0</v>
      </c>
      <c r="K871" s="1985">
        <f>IFERROR(J871-I871,"-")</f>
        <v>0</v>
      </c>
      <c r="N871" s="2091"/>
      <c r="O871" s="2091"/>
      <c r="P871" s="2091" t="s">
        <v>1980</v>
      </c>
      <c r="Q871" s="2091"/>
      <c r="R871" s="2091"/>
      <c r="S871" s="2091"/>
      <c r="T871" s="2091"/>
      <c r="U871" s="2090"/>
      <c r="V871" s="2090"/>
      <c r="W871" s="2090">
        <f t="shared" si="19"/>
        <v>0</v>
      </c>
    </row>
    <row r="872" spans="2:23" ht="27" customHeight="1">
      <c r="N872" s="1672" t="s">
        <v>1965</v>
      </c>
      <c r="O872" s="1672" t="s">
        <v>1669</v>
      </c>
      <c r="P872" s="2035" t="s">
        <v>1981</v>
      </c>
      <c r="Q872" s="2035"/>
      <c r="R872" s="2035"/>
      <c r="S872" s="2035"/>
      <c r="T872" s="1908" t="s">
        <v>276</v>
      </c>
      <c r="U872" s="1674">
        <f>'5. уе свод'!R39</f>
        <v>0</v>
      </c>
      <c r="V872" s="1674">
        <f>'5. уе свод'!X39</f>
        <v>0</v>
      </c>
      <c r="W872" s="1674">
        <f t="shared" si="19"/>
        <v>0</v>
      </c>
    </row>
    <row r="873" spans="2:23" ht="35.25" customHeight="1">
      <c r="B873" s="2025" t="s">
        <v>2255</v>
      </c>
      <c r="C873" s="2025"/>
      <c r="D873" s="2025"/>
      <c r="E873" s="2025"/>
      <c r="F873" s="2025"/>
      <c r="G873" s="2025"/>
      <c r="H873" s="2025"/>
      <c r="I873" s="2025"/>
      <c r="J873" s="2025"/>
      <c r="K873" s="2025"/>
      <c r="N873" s="1672" t="s">
        <v>1966</v>
      </c>
      <c r="O873" s="1672" t="s">
        <v>1671</v>
      </c>
      <c r="P873" s="2035" t="s">
        <v>1982</v>
      </c>
      <c r="Q873" s="2035"/>
      <c r="R873" s="2035"/>
      <c r="S873" s="2035"/>
      <c r="T873" s="1908" t="s">
        <v>276</v>
      </c>
      <c r="U873" s="1674">
        <f>'5. уе свод'!R38</f>
        <v>0</v>
      </c>
      <c r="V873" s="1674">
        <f>'5. уе свод'!X38</f>
        <v>0</v>
      </c>
      <c r="W873" s="1674">
        <f t="shared" si="19"/>
        <v>0</v>
      </c>
    </row>
    <row r="874" spans="2:23">
      <c r="B874" s="2025" t="str">
        <f>CONCATENATE("Корректировка предложения «Организации» на ",$F$4," год составила ",K861,"   тыс. руб. на основании:")</f>
        <v>Корректировка предложения «Организации» на 2024 год составила 0   тыс. руб. на основании:</v>
      </c>
      <c r="C874" s="2025"/>
      <c r="D874" s="2025"/>
      <c r="E874" s="2025"/>
      <c r="F874" s="2025"/>
      <c r="G874" s="2025"/>
      <c r="H874" s="2025"/>
      <c r="I874" s="2025"/>
      <c r="J874" s="2025"/>
      <c r="K874" s="2025"/>
    </row>
    <row r="875" spans="2:23">
      <c r="B875" s="2026"/>
      <c r="C875" s="2026"/>
      <c r="D875" s="2026"/>
      <c r="E875" s="2026"/>
      <c r="F875" s="2026"/>
      <c r="G875" s="2026"/>
      <c r="H875" s="2026"/>
      <c r="I875" s="2026"/>
      <c r="J875" s="2026"/>
      <c r="K875" s="2026"/>
      <c r="M875" s="2044" t="s">
        <v>1412</v>
      </c>
    </row>
    <row r="876" spans="2:23">
      <c r="B876" s="2026"/>
      <c r="C876" s="2026"/>
      <c r="D876" s="2026"/>
      <c r="E876" s="2026"/>
      <c r="F876" s="2026"/>
      <c r="G876" s="2026"/>
      <c r="H876" s="2026"/>
      <c r="I876" s="2026"/>
      <c r="J876" s="2026"/>
      <c r="K876" s="2026"/>
      <c r="M876" s="2045"/>
    </row>
    <row r="877" spans="2:23">
      <c r="B877" s="2026"/>
      <c r="C877" s="2026"/>
      <c r="D877" s="2026"/>
      <c r="E877" s="2026"/>
      <c r="F877" s="2026"/>
      <c r="G877" s="2026"/>
      <c r="H877" s="2026"/>
      <c r="I877" s="2026"/>
      <c r="J877" s="2026"/>
      <c r="K877" s="2026"/>
      <c r="M877" s="2046"/>
    </row>
    <row r="879" spans="2:23" ht="33" customHeight="1">
      <c r="B879" s="2015" t="s">
        <v>1673</v>
      </c>
      <c r="C879" s="2015"/>
      <c r="D879" s="2015"/>
      <c r="E879" s="2015"/>
      <c r="F879" s="2015"/>
      <c r="G879" s="2015"/>
      <c r="H879" s="2015"/>
      <c r="I879" s="2015"/>
      <c r="J879" s="2015"/>
      <c r="K879" s="2015"/>
      <c r="N879" s="2015" t="s">
        <v>1999</v>
      </c>
      <c r="O879" s="2015"/>
      <c r="P879" s="2015"/>
      <c r="Q879" s="2015"/>
      <c r="R879" s="2015"/>
      <c r="S879" s="2015"/>
      <c r="T879" s="2015"/>
      <c r="U879" s="2015"/>
      <c r="V879" s="2015"/>
      <c r="W879" s="2015"/>
    </row>
    <row r="881" spans="2:23" ht="15.75" customHeight="1">
      <c r="B881" s="2003" t="s">
        <v>1674</v>
      </c>
      <c r="C881" s="2003"/>
      <c r="D881" s="2003"/>
      <c r="E881" s="2003"/>
      <c r="F881" s="2003"/>
      <c r="G881" s="2003"/>
      <c r="H881" s="2003"/>
      <c r="I881" s="2003"/>
      <c r="J881" s="2003"/>
      <c r="K881" s="2003"/>
      <c r="N881" s="2003" t="s">
        <v>1993</v>
      </c>
      <c r="O881" s="2003"/>
      <c r="P881" s="2003"/>
      <c r="Q881" s="2003"/>
      <c r="R881" s="2003"/>
      <c r="S881" s="2003"/>
      <c r="T881" s="2003"/>
      <c r="U881" s="2003"/>
      <c r="V881" s="2003"/>
      <c r="W881" s="2003"/>
    </row>
    <row r="882" spans="2:23" ht="18">
      <c r="B882" s="1485" t="s">
        <v>1896</v>
      </c>
      <c r="K882" s="1910" t="s">
        <v>1623</v>
      </c>
      <c r="N882" s="1485" t="s">
        <v>1895</v>
      </c>
      <c r="W882" s="1910" t="str">
        <f>K882</f>
        <v>Таблица 29</v>
      </c>
    </row>
    <row r="883" spans="2:23" ht="15.75" customHeight="1">
      <c r="B883" s="2037" t="s">
        <v>12</v>
      </c>
      <c r="C883" s="2037" t="s">
        <v>1242</v>
      </c>
      <c r="D883" s="2037"/>
      <c r="E883" s="2081" t="str">
        <f>CONCATENATE($F$4," год")</f>
        <v>2024 год</v>
      </c>
      <c r="F883" s="2082"/>
      <c r="G883" s="2082"/>
      <c r="H883" s="2082"/>
      <c r="I883" s="2082"/>
      <c r="J883" s="2083"/>
      <c r="K883" s="2084" t="s">
        <v>1382</v>
      </c>
      <c r="N883" s="2037" t="s">
        <v>12</v>
      </c>
      <c r="O883" s="2037" t="s">
        <v>1242</v>
      </c>
      <c r="P883" s="2037"/>
      <c r="Q883" s="2081" t="str">
        <f>CONCATENATE($F$4," год")</f>
        <v>2024 год</v>
      </c>
      <c r="R883" s="2082"/>
      <c r="S883" s="2082"/>
      <c r="T883" s="2082"/>
      <c r="U883" s="2082"/>
      <c r="V883" s="2083"/>
      <c r="W883" s="2084" t="s">
        <v>1382</v>
      </c>
    </row>
    <row r="884" spans="2:23">
      <c r="B884" s="2037"/>
      <c r="C884" s="2037"/>
      <c r="D884" s="2037"/>
      <c r="E884" s="2085" t="s">
        <v>1330</v>
      </c>
      <c r="F884" s="2086"/>
      <c r="G884" s="2087"/>
      <c r="H884" s="2085" t="s">
        <v>1290</v>
      </c>
      <c r="I884" s="2086"/>
      <c r="J884" s="2087"/>
      <c r="K884" s="2084"/>
      <c r="N884" s="2037"/>
      <c r="O884" s="2037"/>
      <c r="P884" s="2037"/>
      <c r="Q884" s="2085" t="s">
        <v>1330</v>
      </c>
      <c r="R884" s="2086"/>
      <c r="S884" s="2087"/>
      <c r="T884" s="2085" t="s">
        <v>1290</v>
      </c>
      <c r="U884" s="2086"/>
      <c r="V884" s="2087"/>
      <c r="W884" s="2084"/>
    </row>
    <row r="885" spans="2:23" ht="84.75" customHeight="1">
      <c r="B885" s="2037"/>
      <c r="C885" s="2037"/>
      <c r="D885" s="2037"/>
      <c r="E885" s="1432" t="s">
        <v>1676</v>
      </c>
      <c r="F885" s="1432" t="s">
        <v>1677</v>
      </c>
      <c r="G885" s="1432" t="s">
        <v>1636</v>
      </c>
      <c r="H885" s="1432" t="s">
        <v>1676</v>
      </c>
      <c r="I885" s="1432" t="s">
        <v>1677</v>
      </c>
      <c r="J885" s="1432" t="s">
        <v>1636</v>
      </c>
      <c r="K885" s="2084"/>
      <c r="N885" s="2037"/>
      <c r="O885" s="2037"/>
      <c r="P885" s="2037"/>
      <c r="Q885" s="1432" t="s">
        <v>1676</v>
      </c>
      <c r="R885" s="1432" t="s">
        <v>1677</v>
      </c>
      <c r="S885" s="1432" t="s">
        <v>1636</v>
      </c>
      <c r="T885" s="1432" t="s">
        <v>1676</v>
      </c>
      <c r="U885" s="1432" t="s">
        <v>1677</v>
      </c>
      <c r="V885" s="1432" t="s">
        <v>1636</v>
      </c>
      <c r="W885" s="2084"/>
    </row>
    <row r="886" spans="2:23">
      <c r="B886" s="2037"/>
      <c r="C886" s="2037"/>
      <c r="D886" s="2037"/>
      <c r="E886" s="1433" t="s">
        <v>2257</v>
      </c>
      <c r="F886" s="1433" t="s">
        <v>2258</v>
      </c>
      <c r="G886" s="1433" t="s">
        <v>2259</v>
      </c>
      <c r="H886" s="1433" t="s">
        <v>2257</v>
      </c>
      <c r="I886" s="1433" t="s">
        <v>2258</v>
      </c>
      <c r="J886" s="1433" t="s">
        <v>2259</v>
      </c>
      <c r="K886" s="2084"/>
      <c r="N886" s="2037"/>
      <c r="O886" s="2037"/>
      <c r="P886" s="2037"/>
      <c r="Q886" s="1433" t="s">
        <v>1678</v>
      </c>
      <c r="R886" s="1433" t="s">
        <v>1679</v>
      </c>
      <c r="S886" s="1433" t="s">
        <v>1680</v>
      </c>
      <c r="T886" s="1433" t="s">
        <v>1678</v>
      </c>
      <c r="U886" s="1433" t="s">
        <v>1679</v>
      </c>
      <c r="V886" s="1433" t="s">
        <v>1680</v>
      </c>
      <c r="W886" s="2084"/>
    </row>
    <row r="887" spans="2:23">
      <c r="B887" s="1905">
        <v>1</v>
      </c>
      <c r="C887" s="2054">
        <v>2</v>
      </c>
      <c r="D887" s="2054"/>
      <c r="E887" s="1434">
        <v>3</v>
      </c>
      <c r="F887" s="1434">
        <v>4</v>
      </c>
      <c r="G887" s="1434" t="s">
        <v>1443</v>
      </c>
      <c r="H887" s="1434">
        <v>6</v>
      </c>
      <c r="I887" s="1434">
        <v>7</v>
      </c>
      <c r="J887" s="1434" t="s">
        <v>1331</v>
      </c>
      <c r="K887" s="2084"/>
      <c r="N887" s="1905">
        <v>1</v>
      </c>
      <c r="O887" s="2054">
        <v>2</v>
      </c>
      <c r="P887" s="2054"/>
      <c r="Q887" s="1434">
        <v>3</v>
      </c>
      <c r="R887" s="1434">
        <v>4</v>
      </c>
      <c r="S887" s="1434" t="s">
        <v>1443</v>
      </c>
      <c r="T887" s="1434">
        <v>6</v>
      </c>
      <c r="U887" s="1434">
        <v>7</v>
      </c>
      <c r="V887" s="1434" t="s">
        <v>1331</v>
      </c>
      <c r="W887" s="2084"/>
    </row>
    <row r="888" spans="2:23" ht="28.5" customHeight="1">
      <c r="B888" s="2088" t="s">
        <v>234</v>
      </c>
      <c r="C888" s="2056" t="s">
        <v>1636</v>
      </c>
      <c r="D888" s="2056"/>
      <c r="E888" s="2057">
        <f>E890+E891+E896+E899+E900+E904+E905+E906+E907+E908+E912+E914</f>
        <v>0</v>
      </c>
      <c r="F888" s="2057">
        <f>F890+F891+F896+F899+F900+F904+F905+F906+F907+F908+F912+F914</f>
        <v>0</v>
      </c>
      <c r="G888" s="2057">
        <f t="shared" ref="G888:G915" si="21">IFERROR(F888-E888,"-")</f>
        <v>0</v>
      </c>
      <c r="H888" s="2057">
        <f>H890+H891+H896+H899+H900+H904+H905+H906+H907+H908+H912+H914</f>
        <v>0</v>
      </c>
      <c r="I888" s="2057">
        <f>I890+I891+I896+I899+I900+I904+I905+I906+I907+I908+I912+I914</f>
        <v>0</v>
      </c>
      <c r="J888" s="2057">
        <f t="shared" ref="J888:J915" si="22">IFERROR(I888-H888,"-")</f>
        <v>0</v>
      </c>
      <c r="K888" s="1378"/>
      <c r="N888" s="2088" t="s">
        <v>234</v>
      </c>
      <c r="O888" s="2056" t="s">
        <v>1636</v>
      </c>
      <c r="P888" s="2056"/>
      <c r="Q888" s="2067">
        <f>Q890+Q891+Q896+Q899+Q900+Q904+Q905+Q909+Q911</f>
        <v>0</v>
      </c>
      <c r="R888" s="2067">
        <f>R890+R891+R896+R899+R900+R904+R905+R909+R911</f>
        <v>0</v>
      </c>
      <c r="S888" s="2067">
        <f t="shared" ref="S888:S912" si="23">IFERROR(R888-Q888,"-")</f>
        <v>0</v>
      </c>
      <c r="T888" s="2067">
        <f>T890+T891+T896+T899+T900+T904+T905+T909+T911</f>
        <v>0</v>
      </c>
      <c r="U888" s="2067">
        <f>U890+U891+U896+U899+U900+U904+U905+U909+U911</f>
        <v>0</v>
      </c>
      <c r="V888" s="2067">
        <f t="shared" ref="V888:V912" si="24">IFERROR(U888-T888,"-")</f>
        <v>0</v>
      </c>
      <c r="W888" s="1378"/>
    </row>
    <row r="889" spans="2:23">
      <c r="B889" s="2088"/>
      <c r="C889" s="2037" t="s">
        <v>2256</v>
      </c>
      <c r="D889" s="2037"/>
      <c r="E889" s="2058"/>
      <c r="F889" s="2058"/>
      <c r="G889" s="2058">
        <f t="shared" si="21"/>
        <v>0</v>
      </c>
      <c r="H889" s="2058"/>
      <c r="I889" s="2058"/>
      <c r="J889" s="2058">
        <f t="shared" si="22"/>
        <v>0</v>
      </c>
      <c r="K889" s="1378"/>
      <c r="N889" s="2088"/>
      <c r="O889" s="2037" t="s">
        <v>1681</v>
      </c>
      <c r="P889" s="2037"/>
      <c r="Q889" s="2068"/>
      <c r="R889" s="2068"/>
      <c r="S889" s="2068">
        <f t="shared" si="23"/>
        <v>0</v>
      </c>
      <c r="T889" s="2068"/>
      <c r="U889" s="2068"/>
      <c r="V889" s="2068">
        <f t="shared" si="24"/>
        <v>0</v>
      </c>
      <c r="W889" s="1378"/>
    </row>
    <row r="890" spans="2:23">
      <c r="B890" s="1898" t="s">
        <v>267</v>
      </c>
      <c r="C890" s="2078" t="s">
        <v>1682</v>
      </c>
      <c r="D890" s="2078"/>
      <c r="E890" s="1378"/>
      <c r="F890" s="1378"/>
      <c r="G890" s="1953">
        <f t="shared" si="21"/>
        <v>0</v>
      </c>
      <c r="H890" s="1378"/>
      <c r="I890" s="1378"/>
      <c r="J890" s="1953">
        <f t="shared" si="22"/>
        <v>0</v>
      </c>
      <c r="K890" s="1378"/>
      <c r="N890" s="1898" t="s">
        <v>267</v>
      </c>
      <c r="O890" s="2078" t="s">
        <v>1682</v>
      </c>
      <c r="P890" s="2078"/>
      <c r="Q890" s="1378"/>
      <c r="R890" s="1378"/>
      <c r="S890" s="1376">
        <f t="shared" si="23"/>
        <v>0</v>
      </c>
      <c r="T890" s="1378"/>
      <c r="U890" s="1378"/>
      <c r="V890" s="1376">
        <f t="shared" si="24"/>
        <v>0</v>
      </c>
      <c r="W890" s="1378"/>
    </row>
    <row r="891" spans="2:23">
      <c r="B891" s="1898" t="s">
        <v>269</v>
      </c>
      <c r="C891" s="2076" t="s">
        <v>1683</v>
      </c>
      <c r="D891" s="2076"/>
      <c r="E891" s="1953">
        <f>SUM(E892:E893)</f>
        <v>0</v>
      </c>
      <c r="F891" s="1953">
        <f>SUM(F892:F893)</f>
        <v>0</v>
      </c>
      <c r="G891" s="1953">
        <f t="shared" si="21"/>
        <v>0</v>
      </c>
      <c r="H891" s="1953">
        <f>SUM(H892:H893)</f>
        <v>0</v>
      </c>
      <c r="I891" s="1953">
        <f>SUM(I892:I893)</f>
        <v>0</v>
      </c>
      <c r="J891" s="1953">
        <f t="shared" si="22"/>
        <v>0</v>
      </c>
      <c r="K891" s="1378"/>
      <c r="N891" s="1898" t="s">
        <v>269</v>
      </c>
      <c r="O891" s="2076" t="s">
        <v>1683</v>
      </c>
      <c r="P891" s="2076"/>
      <c r="Q891" s="1376">
        <f>SUM(Q892:Q893)</f>
        <v>0</v>
      </c>
      <c r="R891" s="1376">
        <f>SUM(R892:R893)</f>
        <v>0</v>
      </c>
      <c r="S891" s="1376">
        <f t="shared" si="23"/>
        <v>0</v>
      </c>
      <c r="T891" s="1376">
        <f>SUM(T892:T893)</f>
        <v>0</v>
      </c>
      <c r="U891" s="1376">
        <f>SUM(U892:U893)</f>
        <v>0</v>
      </c>
      <c r="V891" s="1376">
        <f t="shared" si="24"/>
        <v>0</v>
      </c>
      <c r="W891" s="1378"/>
    </row>
    <row r="892" spans="2:23" ht="27.75" customHeight="1">
      <c r="B892" s="1898" t="s">
        <v>1339</v>
      </c>
      <c r="C892" s="2075" t="s">
        <v>1684</v>
      </c>
      <c r="D892" s="2075"/>
      <c r="E892" s="1378"/>
      <c r="F892" s="1378"/>
      <c r="G892" s="1953">
        <f t="shared" si="21"/>
        <v>0</v>
      </c>
      <c r="H892" s="1378"/>
      <c r="I892" s="1378"/>
      <c r="J892" s="1953">
        <f t="shared" si="22"/>
        <v>0</v>
      </c>
      <c r="K892" s="1378"/>
      <c r="N892" s="1898" t="s">
        <v>1339</v>
      </c>
      <c r="O892" s="2075" t="s">
        <v>1684</v>
      </c>
      <c r="P892" s="2075"/>
      <c r="Q892" s="1378"/>
      <c r="R892" s="1378"/>
      <c r="S892" s="1376">
        <f t="shared" si="23"/>
        <v>0</v>
      </c>
      <c r="T892" s="1378"/>
      <c r="U892" s="1378"/>
      <c r="V892" s="1376">
        <f t="shared" si="24"/>
        <v>0</v>
      </c>
      <c r="W892" s="1378"/>
    </row>
    <row r="893" spans="2:23" ht="27.75" customHeight="1">
      <c r="B893" s="1898" t="s">
        <v>676</v>
      </c>
      <c r="C893" s="2075" t="s">
        <v>1685</v>
      </c>
      <c r="D893" s="2075"/>
      <c r="E893" s="1953">
        <f>SUM(E894:E895)</f>
        <v>0</v>
      </c>
      <c r="F893" s="1953">
        <f>SUM(F894:F895)</f>
        <v>0</v>
      </c>
      <c r="G893" s="1953">
        <f t="shared" si="21"/>
        <v>0</v>
      </c>
      <c r="H893" s="1953">
        <f>SUM(H894:H895)</f>
        <v>0</v>
      </c>
      <c r="I893" s="1953">
        <f>SUM(I894:I895)</f>
        <v>0</v>
      </c>
      <c r="J893" s="1953">
        <f t="shared" si="22"/>
        <v>0</v>
      </c>
      <c r="K893" s="1378"/>
      <c r="N893" s="1898" t="s">
        <v>676</v>
      </c>
      <c r="O893" s="2075" t="s">
        <v>1685</v>
      </c>
      <c r="P893" s="2075"/>
      <c r="Q893" s="1376">
        <f>SUM(Q894:Q895)</f>
        <v>0</v>
      </c>
      <c r="R893" s="1376">
        <f>SUM(R894:R895)</f>
        <v>0</v>
      </c>
      <c r="S893" s="1376">
        <f t="shared" si="23"/>
        <v>0</v>
      </c>
      <c r="T893" s="1376">
        <f>SUM(T894:T895)</f>
        <v>0</v>
      </c>
      <c r="U893" s="1376">
        <f>SUM(U894:U895)</f>
        <v>0</v>
      </c>
      <c r="V893" s="1376">
        <f t="shared" si="24"/>
        <v>0</v>
      </c>
      <c r="W893" s="1378"/>
    </row>
    <row r="894" spans="2:23">
      <c r="B894" s="1898" t="s">
        <v>1341</v>
      </c>
      <c r="C894" s="2080" t="s">
        <v>1686</v>
      </c>
      <c r="D894" s="2080"/>
      <c r="E894" s="1378"/>
      <c r="F894" s="1378"/>
      <c r="G894" s="1953">
        <f t="shared" si="21"/>
        <v>0</v>
      </c>
      <c r="H894" s="1378"/>
      <c r="I894" s="1378"/>
      <c r="J894" s="1953">
        <f t="shared" si="22"/>
        <v>0</v>
      </c>
      <c r="K894" s="1378"/>
      <c r="N894" s="1898" t="s">
        <v>1341</v>
      </c>
      <c r="O894" s="2080" t="s">
        <v>1686</v>
      </c>
      <c r="P894" s="2080"/>
      <c r="Q894" s="1378"/>
      <c r="R894" s="1378"/>
      <c r="S894" s="1376">
        <f t="shared" si="23"/>
        <v>0</v>
      </c>
      <c r="T894" s="1378"/>
      <c r="U894" s="1378"/>
      <c r="V894" s="1376">
        <f t="shared" si="24"/>
        <v>0</v>
      </c>
      <c r="W894" s="1378"/>
    </row>
    <row r="895" spans="2:23">
      <c r="B895" s="1898" t="s">
        <v>1343</v>
      </c>
      <c r="C895" s="2080" t="s">
        <v>1687</v>
      </c>
      <c r="D895" s="2080"/>
      <c r="E895" s="1378"/>
      <c r="F895" s="1378"/>
      <c r="G895" s="1953">
        <f t="shared" si="21"/>
        <v>0</v>
      </c>
      <c r="H895" s="1378"/>
      <c r="I895" s="1378"/>
      <c r="J895" s="1953">
        <f t="shared" si="22"/>
        <v>0</v>
      </c>
      <c r="K895" s="1378"/>
      <c r="N895" s="1898" t="s">
        <v>1343</v>
      </c>
      <c r="O895" s="2080" t="s">
        <v>1687</v>
      </c>
      <c r="P895" s="2080"/>
      <c r="Q895" s="1378"/>
      <c r="R895" s="1378"/>
      <c r="S895" s="1376">
        <f t="shared" si="23"/>
        <v>0</v>
      </c>
      <c r="T895" s="1378"/>
      <c r="U895" s="1378"/>
      <c r="V895" s="1376">
        <f t="shared" si="24"/>
        <v>0</v>
      </c>
      <c r="W895" s="1378"/>
    </row>
    <row r="896" spans="2:23">
      <c r="B896" s="1429" t="s">
        <v>270</v>
      </c>
      <c r="C896" s="2078" t="s">
        <v>1688</v>
      </c>
      <c r="D896" s="2078"/>
      <c r="E896" s="1953">
        <f>SUM(E897:E898)</f>
        <v>0</v>
      </c>
      <c r="F896" s="1953">
        <f>SUM(F897:F898)</f>
        <v>0</v>
      </c>
      <c r="G896" s="1953">
        <f t="shared" si="21"/>
        <v>0</v>
      </c>
      <c r="H896" s="1953">
        <f>SUM(H897:H898)</f>
        <v>0</v>
      </c>
      <c r="I896" s="1953">
        <f>SUM(I897:I898)</f>
        <v>0</v>
      </c>
      <c r="J896" s="1953">
        <f t="shared" si="22"/>
        <v>0</v>
      </c>
      <c r="K896" s="1378"/>
      <c r="N896" s="1429" t="s">
        <v>270</v>
      </c>
      <c r="O896" s="2078" t="s">
        <v>1688</v>
      </c>
      <c r="P896" s="2078"/>
      <c r="Q896" s="1376">
        <f>SUM(Q897:Q898)</f>
        <v>0</v>
      </c>
      <c r="R896" s="1376">
        <f>SUM(R897:R898)</f>
        <v>0</v>
      </c>
      <c r="S896" s="1376">
        <f t="shared" si="23"/>
        <v>0</v>
      </c>
      <c r="T896" s="1376">
        <f>SUM(T897:T898)</f>
        <v>0</v>
      </c>
      <c r="U896" s="1376">
        <f>SUM(U897:U898)</f>
        <v>0</v>
      </c>
      <c r="V896" s="1376">
        <f t="shared" si="24"/>
        <v>0</v>
      </c>
      <c r="W896" s="1378"/>
    </row>
    <row r="897" spans="2:23">
      <c r="B897" s="1429" t="s">
        <v>272</v>
      </c>
      <c r="C897" s="2079" t="s">
        <v>1689</v>
      </c>
      <c r="D897" s="2079"/>
      <c r="E897" s="1378"/>
      <c r="F897" s="1378"/>
      <c r="G897" s="1953">
        <f t="shared" si="21"/>
        <v>0</v>
      </c>
      <c r="H897" s="1378"/>
      <c r="I897" s="1378"/>
      <c r="J897" s="1953">
        <f t="shared" si="22"/>
        <v>0</v>
      </c>
      <c r="K897" s="1378"/>
      <c r="N897" s="1429" t="s">
        <v>272</v>
      </c>
      <c r="O897" s="2079" t="s">
        <v>1689</v>
      </c>
      <c r="P897" s="2079"/>
      <c r="Q897" s="1378"/>
      <c r="R897" s="1378"/>
      <c r="S897" s="1376">
        <f t="shared" si="23"/>
        <v>0</v>
      </c>
      <c r="T897" s="1378"/>
      <c r="U897" s="1378"/>
      <c r="V897" s="1376">
        <f t="shared" si="24"/>
        <v>0</v>
      </c>
      <c r="W897" s="1378"/>
    </row>
    <row r="898" spans="2:23">
      <c r="B898" s="1429" t="s">
        <v>277</v>
      </c>
      <c r="C898" s="2079" t="s">
        <v>1690</v>
      </c>
      <c r="D898" s="2079"/>
      <c r="E898" s="1378"/>
      <c r="F898" s="1378"/>
      <c r="G898" s="1953">
        <f t="shared" si="21"/>
        <v>0</v>
      </c>
      <c r="H898" s="1378"/>
      <c r="I898" s="1378"/>
      <c r="J898" s="1953">
        <f t="shared" si="22"/>
        <v>0</v>
      </c>
      <c r="K898" s="1378"/>
      <c r="N898" s="1429" t="s">
        <v>277</v>
      </c>
      <c r="O898" s="2079" t="s">
        <v>1690</v>
      </c>
      <c r="P898" s="2079"/>
      <c r="Q898" s="1378"/>
      <c r="R898" s="1378"/>
      <c r="S898" s="1376">
        <f t="shared" si="23"/>
        <v>0</v>
      </c>
      <c r="T898" s="1378"/>
      <c r="U898" s="1378"/>
      <c r="V898" s="1376">
        <f t="shared" si="24"/>
        <v>0</v>
      </c>
      <c r="W898" s="1378"/>
    </row>
    <row r="899" spans="2:23">
      <c r="B899" s="1429" t="s">
        <v>286</v>
      </c>
      <c r="C899" s="2078" t="s">
        <v>359</v>
      </c>
      <c r="D899" s="2078"/>
      <c r="E899" s="1378"/>
      <c r="F899" s="1378"/>
      <c r="G899" s="1953">
        <f t="shared" si="21"/>
        <v>0</v>
      </c>
      <c r="H899" s="1378"/>
      <c r="I899" s="1378"/>
      <c r="J899" s="1953">
        <f t="shared" si="22"/>
        <v>0</v>
      </c>
      <c r="K899" s="1378"/>
      <c r="N899" s="1429" t="s">
        <v>286</v>
      </c>
      <c r="O899" s="2078" t="s">
        <v>359</v>
      </c>
      <c r="P899" s="2078"/>
      <c r="Q899" s="1378"/>
      <c r="R899" s="1378"/>
      <c r="S899" s="1376">
        <f t="shared" si="23"/>
        <v>0</v>
      </c>
      <c r="T899" s="1378"/>
      <c r="U899" s="1378"/>
      <c r="V899" s="1376">
        <f t="shared" si="24"/>
        <v>0</v>
      </c>
      <c r="W899" s="1378"/>
    </row>
    <row r="900" spans="2:23">
      <c r="B900" s="1429" t="s">
        <v>636</v>
      </c>
      <c r="C900" s="2078" t="s">
        <v>1691</v>
      </c>
      <c r="D900" s="2078"/>
      <c r="E900" s="1953">
        <f>SUM(E901:E903)</f>
        <v>0</v>
      </c>
      <c r="F900" s="1953">
        <f>SUM(F901:F903)</f>
        <v>0</v>
      </c>
      <c r="G900" s="1953">
        <f t="shared" si="21"/>
        <v>0</v>
      </c>
      <c r="H900" s="1953">
        <f>SUM(H901:H903)</f>
        <v>0</v>
      </c>
      <c r="I900" s="1953">
        <f>SUM(I901:I903)</f>
        <v>0</v>
      </c>
      <c r="J900" s="1953">
        <f t="shared" si="22"/>
        <v>0</v>
      </c>
      <c r="K900" s="1378"/>
      <c r="N900" s="1429" t="s">
        <v>636</v>
      </c>
      <c r="O900" s="2078" t="s">
        <v>1691</v>
      </c>
      <c r="P900" s="2078"/>
      <c r="Q900" s="1376">
        <f>SUM(Q901:Q903)</f>
        <v>0</v>
      </c>
      <c r="R900" s="1376">
        <f>SUM(R901:R903)</f>
        <v>0</v>
      </c>
      <c r="S900" s="1376">
        <f t="shared" si="23"/>
        <v>0</v>
      </c>
      <c r="T900" s="1376">
        <f>SUM(T901:T903)</f>
        <v>0</v>
      </c>
      <c r="U900" s="1376">
        <f>SUM(U901:U903)</f>
        <v>0</v>
      </c>
      <c r="V900" s="1376">
        <f t="shared" si="24"/>
        <v>0</v>
      </c>
      <c r="W900" s="1378"/>
    </row>
    <row r="901" spans="2:23">
      <c r="B901" s="1429" t="s">
        <v>1692</v>
      </c>
      <c r="C901" s="2079" t="s">
        <v>363</v>
      </c>
      <c r="D901" s="2079"/>
      <c r="E901" s="1378"/>
      <c r="F901" s="1378"/>
      <c r="G901" s="1953">
        <f t="shared" si="21"/>
        <v>0</v>
      </c>
      <c r="H901" s="1378"/>
      <c r="I901" s="1378"/>
      <c r="J901" s="1953">
        <f t="shared" si="22"/>
        <v>0</v>
      </c>
      <c r="K901" s="1378"/>
      <c r="N901" s="1429" t="s">
        <v>1692</v>
      </c>
      <c r="O901" s="2079" t="s">
        <v>363</v>
      </c>
      <c r="P901" s="2079"/>
      <c r="Q901" s="1378"/>
      <c r="R901" s="1378"/>
      <c r="S901" s="1376">
        <f t="shared" si="23"/>
        <v>0</v>
      </c>
      <c r="T901" s="1378"/>
      <c r="U901" s="1378"/>
      <c r="V901" s="1376">
        <f t="shared" si="24"/>
        <v>0</v>
      </c>
      <c r="W901" s="1378"/>
    </row>
    <row r="902" spans="2:23">
      <c r="B902" s="1429" t="s">
        <v>1693</v>
      </c>
      <c r="C902" s="2079" t="s">
        <v>710</v>
      </c>
      <c r="D902" s="2079"/>
      <c r="E902" s="1378"/>
      <c r="F902" s="1378"/>
      <c r="G902" s="1953">
        <f t="shared" si="21"/>
        <v>0</v>
      </c>
      <c r="H902" s="1378"/>
      <c r="I902" s="1378"/>
      <c r="J902" s="1953">
        <f t="shared" si="22"/>
        <v>0</v>
      </c>
      <c r="K902" s="1378"/>
      <c r="N902" s="1429" t="s">
        <v>1693</v>
      </c>
      <c r="O902" s="2079" t="s">
        <v>710</v>
      </c>
      <c r="P902" s="2079"/>
      <c r="Q902" s="1378"/>
      <c r="R902" s="1378"/>
      <c r="S902" s="1376">
        <f t="shared" si="23"/>
        <v>0</v>
      </c>
      <c r="T902" s="1378"/>
      <c r="U902" s="1378"/>
      <c r="V902" s="1376">
        <f t="shared" si="24"/>
        <v>0</v>
      </c>
      <c r="W902" s="1378"/>
    </row>
    <row r="903" spans="2:23">
      <c r="B903" s="1429" t="s">
        <v>1694</v>
      </c>
      <c r="C903" s="2079" t="s">
        <v>1695</v>
      </c>
      <c r="D903" s="2079"/>
      <c r="E903" s="1378"/>
      <c r="F903" s="1378"/>
      <c r="G903" s="1953">
        <f t="shared" si="21"/>
        <v>0</v>
      </c>
      <c r="H903" s="1378"/>
      <c r="I903" s="1378"/>
      <c r="J903" s="1953">
        <f t="shared" si="22"/>
        <v>0</v>
      </c>
      <c r="K903" s="1378"/>
      <c r="N903" s="1429" t="s">
        <v>1694</v>
      </c>
      <c r="O903" s="2079" t="s">
        <v>1695</v>
      </c>
      <c r="P903" s="2079"/>
      <c r="Q903" s="1378"/>
      <c r="R903" s="1378"/>
      <c r="S903" s="1376">
        <f t="shared" si="23"/>
        <v>0</v>
      </c>
      <c r="T903" s="1378"/>
      <c r="U903" s="1378"/>
      <c r="V903" s="1376">
        <f t="shared" si="24"/>
        <v>0</v>
      </c>
      <c r="W903" s="1378"/>
    </row>
    <row r="904" spans="2:23">
      <c r="B904" s="1429" t="s">
        <v>639</v>
      </c>
      <c r="C904" s="2078" t="s">
        <v>1347</v>
      </c>
      <c r="D904" s="2078"/>
      <c r="E904" s="1378"/>
      <c r="F904" s="1378"/>
      <c r="G904" s="1953">
        <f t="shared" si="21"/>
        <v>0</v>
      </c>
      <c r="H904" s="1378"/>
      <c r="I904" s="1378"/>
      <c r="J904" s="1953">
        <f t="shared" si="22"/>
        <v>0</v>
      </c>
      <c r="K904" s="1378"/>
      <c r="N904" s="1429" t="s">
        <v>639</v>
      </c>
      <c r="O904" s="2078" t="s">
        <v>1347</v>
      </c>
      <c r="P904" s="2078"/>
      <c r="Q904" s="1378"/>
      <c r="R904" s="1378"/>
      <c r="S904" s="1376">
        <f t="shared" si="23"/>
        <v>0</v>
      </c>
      <c r="T904" s="1378"/>
      <c r="U904" s="1378"/>
      <c r="V904" s="1376">
        <f t="shared" si="24"/>
        <v>0</v>
      </c>
      <c r="W904" s="1378"/>
    </row>
    <row r="905" spans="2:23">
      <c r="B905" s="1429" t="s">
        <v>642</v>
      </c>
      <c r="C905" s="2078" t="s">
        <v>1357</v>
      </c>
      <c r="D905" s="2078"/>
      <c r="E905" s="1378"/>
      <c r="F905" s="1378"/>
      <c r="G905" s="1953">
        <f t="shared" si="21"/>
        <v>0</v>
      </c>
      <c r="H905" s="1378"/>
      <c r="I905" s="1378"/>
      <c r="J905" s="1953">
        <f t="shared" si="22"/>
        <v>0</v>
      </c>
      <c r="K905" s="1378"/>
      <c r="N905" s="1429" t="s">
        <v>642</v>
      </c>
      <c r="O905" s="2071" t="s">
        <v>1697</v>
      </c>
      <c r="P905" s="2072"/>
      <c r="Q905" s="1376">
        <f>SUM(Q906:R908)</f>
        <v>0</v>
      </c>
      <c r="R905" s="1376">
        <f>SUM(R906:S908)</f>
        <v>0</v>
      </c>
      <c r="S905" s="1376">
        <f t="shared" si="23"/>
        <v>0</v>
      </c>
      <c r="T905" s="1376">
        <f>SUM(T906:U908)</f>
        <v>0</v>
      </c>
      <c r="U905" s="1376">
        <f>SUM(U906:V908)</f>
        <v>0</v>
      </c>
      <c r="V905" s="1376">
        <f t="shared" si="24"/>
        <v>0</v>
      </c>
      <c r="W905" s="1378"/>
    </row>
    <row r="906" spans="2:23">
      <c r="B906" s="1429" t="s">
        <v>645</v>
      </c>
      <c r="C906" s="2076" t="s">
        <v>1696</v>
      </c>
      <c r="D906" s="2076"/>
      <c r="E906" s="1378"/>
      <c r="F906" s="1378"/>
      <c r="G906" s="1953">
        <f t="shared" si="21"/>
        <v>0</v>
      </c>
      <c r="H906" s="1378"/>
      <c r="I906" s="1378"/>
      <c r="J906" s="1953">
        <f t="shared" si="22"/>
        <v>0</v>
      </c>
      <c r="K906" s="1378"/>
      <c r="N906" s="1429" t="s">
        <v>1983</v>
      </c>
      <c r="O906" s="2073" t="s">
        <v>1699</v>
      </c>
      <c r="P906" s="2074"/>
      <c r="Q906" s="1378"/>
      <c r="R906" s="1378"/>
      <c r="S906" s="1376">
        <f t="shared" si="23"/>
        <v>0</v>
      </c>
      <c r="T906" s="1378"/>
      <c r="U906" s="1378"/>
      <c r="V906" s="1376">
        <f t="shared" si="24"/>
        <v>0</v>
      </c>
      <c r="W906" s="1378"/>
    </row>
    <row r="907" spans="2:23">
      <c r="B907" s="1429" t="s">
        <v>1372</v>
      </c>
      <c r="C907" s="2076" t="s">
        <v>1355</v>
      </c>
      <c r="D907" s="2076"/>
      <c r="E907" s="1378"/>
      <c r="F907" s="1378"/>
      <c r="G907" s="1953">
        <f t="shared" si="21"/>
        <v>0</v>
      </c>
      <c r="H907" s="1378"/>
      <c r="I907" s="1378"/>
      <c r="J907" s="1953">
        <f t="shared" si="22"/>
        <v>0</v>
      </c>
      <c r="K907" s="1378"/>
      <c r="N907" s="1429" t="s">
        <v>1984</v>
      </c>
      <c r="O907" s="2073" t="s">
        <v>1701</v>
      </c>
      <c r="P907" s="2074"/>
      <c r="Q907" s="1378"/>
      <c r="R907" s="1378"/>
      <c r="S907" s="1376">
        <f t="shared" si="23"/>
        <v>0</v>
      </c>
      <c r="T907" s="1378"/>
      <c r="U907" s="1378"/>
      <c r="V907" s="1376">
        <f t="shared" si="24"/>
        <v>0</v>
      </c>
      <c r="W907" s="1378"/>
    </row>
    <row r="908" spans="2:23" ht="24.75" customHeight="1">
      <c r="B908" s="1429" t="s">
        <v>1374</v>
      </c>
      <c r="C908" s="2076" t="s">
        <v>1697</v>
      </c>
      <c r="D908" s="2076"/>
      <c r="E908" s="1953">
        <f>SUM(E909:F911)</f>
        <v>0</v>
      </c>
      <c r="F908" s="1953">
        <f>SUM(F909:G911)</f>
        <v>0</v>
      </c>
      <c r="G908" s="1953">
        <f t="shared" si="21"/>
        <v>0</v>
      </c>
      <c r="H908" s="1953">
        <f>SUM(H909:I911)</f>
        <v>0</v>
      </c>
      <c r="I908" s="1953">
        <f>SUM(I909:J911)</f>
        <v>0</v>
      </c>
      <c r="J908" s="1953">
        <f t="shared" si="22"/>
        <v>0</v>
      </c>
      <c r="K908" s="1378"/>
      <c r="N908" s="1429" t="s">
        <v>1985</v>
      </c>
      <c r="O908" s="2073" t="s">
        <v>1489</v>
      </c>
      <c r="P908" s="2074"/>
      <c r="Q908" s="1378"/>
      <c r="R908" s="1378"/>
      <c r="S908" s="1376">
        <f t="shared" si="23"/>
        <v>0</v>
      </c>
      <c r="T908" s="1378"/>
      <c r="U908" s="1378"/>
      <c r="V908" s="1376">
        <f t="shared" si="24"/>
        <v>0</v>
      </c>
      <c r="W908" s="1378"/>
    </row>
    <row r="909" spans="2:23">
      <c r="B909" s="1429" t="s">
        <v>1698</v>
      </c>
      <c r="C909" s="2079" t="s">
        <v>1699</v>
      </c>
      <c r="D909" s="2079"/>
      <c r="E909" s="1378"/>
      <c r="F909" s="1378"/>
      <c r="G909" s="1953">
        <f t="shared" si="21"/>
        <v>0</v>
      </c>
      <c r="H909" s="1378"/>
      <c r="I909" s="1378"/>
      <c r="J909" s="1953">
        <f t="shared" si="22"/>
        <v>0</v>
      </c>
      <c r="K909" s="1378"/>
      <c r="N909" s="1429" t="s">
        <v>645</v>
      </c>
      <c r="O909" s="2071" t="s">
        <v>1703</v>
      </c>
      <c r="P909" s="2072"/>
      <c r="Q909" s="1378"/>
      <c r="R909" s="1378"/>
      <c r="S909" s="1376">
        <f t="shared" si="23"/>
        <v>0</v>
      </c>
      <c r="T909" s="1378"/>
      <c r="U909" s="1378"/>
      <c r="V909" s="1376">
        <f t="shared" si="24"/>
        <v>0</v>
      </c>
      <c r="W909" s="1378"/>
    </row>
    <row r="910" spans="2:23" ht="15.75" customHeight="1">
      <c r="B910" s="1429" t="s">
        <v>1700</v>
      </c>
      <c r="C910" s="2079" t="s">
        <v>1701</v>
      </c>
      <c r="D910" s="2079"/>
      <c r="E910" s="1378"/>
      <c r="F910" s="1378"/>
      <c r="G910" s="1953">
        <f t="shared" si="21"/>
        <v>0</v>
      </c>
      <c r="H910" s="1378"/>
      <c r="I910" s="1378"/>
      <c r="J910" s="1953">
        <f t="shared" si="22"/>
        <v>0</v>
      </c>
      <c r="K910" s="1378"/>
      <c r="N910" s="1429" t="s">
        <v>648</v>
      </c>
      <c r="O910" s="2075" t="s">
        <v>1705</v>
      </c>
      <c r="P910" s="2075"/>
      <c r="Q910" s="1378"/>
      <c r="R910" s="1378"/>
      <c r="S910" s="1376">
        <f t="shared" si="23"/>
        <v>0</v>
      </c>
      <c r="T910" s="1378"/>
      <c r="U910" s="1378"/>
      <c r="V910" s="1376">
        <f t="shared" si="24"/>
        <v>0</v>
      </c>
      <c r="W910" s="1378"/>
    </row>
    <row r="911" spans="2:23" ht="15.75" customHeight="1">
      <c r="B911" s="1429" t="s">
        <v>1702</v>
      </c>
      <c r="C911" s="2079" t="s">
        <v>1489</v>
      </c>
      <c r="D911" s="2079"/>
      <c r="E911" s="1378"/>
      <c r="F911" s="1378"/>
      <c r="G911" s="1953">
        <f t="shared" si="21"/>
        <v>0</v>
      </c>
      <c r="H911" s="1378"/>
      <c r="I911" s="1378"/>
      <c r="J911" s="1953">
        <f t="shared" si="22"/>
        <v>0</v>
      </c>
      <c r="K911" s="1378"/>
      <c r="N911" s="1429" t="s">
        <v>1372</v>
      </c>
      <c r="O911" s="2076" t="s">
        <v>1365</v>
      </c>
      <c r="P911" s="2076"/>
      <c r="Q911" s="1378"/>
      <c r="R911" s="1378"/>
      <c r="S911" s="1376">
        <f t="shared" si="23"/>
        <v>0</v>
      </c>
      <c r="T911" s="1378"/>
      <c r="U911" s="1378"/>
      <c r="V911" s="1376">
        <f t="shared" si="24"/>
        <v>0</v>
      </c>
      <c r="W911" s="1378"/>
    </row>
    <row r="912" spans="2:23">
      <c r="B912" s="1429" t="s">
        <v>1376</v>
      </c>
      <c r="C912" s="2076" t="s">
        <v>1703</v>
      </c>
      <c r="D912" s="2076"/>
      <c r="E912" s="1378"/>
      <c r="F912" s="1378"/>
      <c r="G912" s="1953">
        <f t="shared" si="21"/>
        <v>0</v>
      </c>
      <c r="H912" s="1378"/>
      <c r="I912" s="1378"/>
      <c r="J912" s="1953">
        <f t="shared" si="22"/>
        <v>0</v>
      </c>
      <c r="K912" s="1378"/>
      <c r="N912" s="1429" t="s">
        <v>1438</v>
      </c>
      <c r="O912" s="2077"/>
      <c r="P912" s="2077"/>
      <c r="Q912" s="1378"/>
      <c r="R912" s="1378"/>
      <c r="S912" s="1376">
        <f t="shared" si="23"/>
        <v>0</v>
      </c>
      <c r="T912" s="1378"/>
      <c r="U912" s="1378"/>
      <c r="V912" s="1376">
        <f t="shared" si="24"/>
        <v>0</v>
      </c>
      <c r="W912" s="1378"/>
    </row>
    <row r="913" spans="2:23">
      <c r="B913" s="1429" t="s">
        <v>1704</v>
      </c>
      <c r="C913" s="2075" t="s">
        <v>1705</v>
      </c>
      <c r="D913" s="2075"/>
      <c r="E913" s="1378"/>
      <c r="F913" s="1378"/>
      <c r="G913" s="1953">
        <f t="shared" si="21"/>
        <v>0</v>
      </c>
      <c r="H913" s="1378"/>
      <c r="I913" s="1378"/>
      <c r="J913" s="1953">
        <f t="shared" si="22"/>
        <v>0</v>
      </c>
      <c r="K913" s="1378"/>
    </row>
    <row r="914" spans="2:23">
      <c r="B914" s="1429" t="s">
        <v>1706</v>
      </c>
      <c r="C914" s="2076" t="s">
        <v>1365</v>
      </c>
      <c r="D914" s="2076"/>
      <c r="E914" s="1378"/>
      <c r="F914" s="1378"/>
      <c r="G914" s="1953">
        <f t="shared" si="21"/>
        <v>0</v>
      </c>
      <c r="H914" s="1378"/>
      <c r="I914" s="1378"/>
      <c r="J914" s="1953">
        <f t="shared" si="22"/>
        <v>0</v>
      </c>
      <c r="K914" s="1378"/>
    </row>
    <row r="915" spans="2:23">
      <c r="B915" s="1429" t="s">
        <v>1438</v>
      </c>
      <c r="C915" s="2077"/>
      <c r="D915" s="2077"/>
      <c r="E915" s="1378"/>
      <c r="F915" s="1378"/>
      <c r="G915" s="1953">
        <f t="shared" si="21"/>
        <v>0</v>
      </c>
      <c r="H915" s="1378"/>
      <c r="I915" s="1378"/>
      <c r="J915" s="1953">
        <f t="shared" si="22"/>
        <v>0</v>
      </c>
      <c r="K915" s="1378"/>
    </row>
    <row r="917" spans="2:23">
      <c r="B917" s="2025" t="str">
        <f>CONCATENATE("Корректировка предложения «Организации» на ",$F$4," год составила ",J888-G888,"   тыс. руб. на основании:")</f>
        <v>Корректировка предложения «Организации» на 2024 год составила 0   тыс. руб. на основании:</v>
      </c>
      <c r="C917" s="2025"/>
      <c r="D917" s="2025"/>
      <c r="E917" s="2025"/>
      <c r="F917" s="2025"/>
      <c r="G917" s="2025"/>
      <c r="H917" s="2025"/>
      <c r="I917" s="2025"/>
      <c r="J917" s="2025"/>
      <c r="K917" s="2025"/>
    </row>
    <row r="918" spans="2:23">
      <c r="B918" s="2026"/>
      <c r="C918" s="2026"/>
      <c r="D918" s="2026"/>
      <c r="E918" s="2026"/>
      <c r="F918" s="2026"/>
      <c r="G918" s="2026"/>
      <c r="H918" s="2026"/>
      <c r="I918" s="2026"/>
      <c r="J918" s="2026"/>
      <c r="K918" s="2026"/>
      <c r="M918" s="2044" t="s">
        <v>1412</v>
      </c>
    </row>
    <row r="919" spans="2:23">
      <c r="B919" s="2026"/>
      <c r="C919" s="2026"/>
      <c r="D919" s="2026"/>
      <c r="E919" s="2026"/>
      <c r="F919" s="2026"/>
      <c r="G919" s="2026"/>
      <c r="H919" s="2026"/>
      <c r="I919" s="2026"/>
      <c r="J919" s="2026"/>
      <c r="K919" s="2026"/>
      <c r="M919" s="2045"/>
    </row>
    <row r="920" spans="2:23">
      <c r="B920" s="2026"/>
      <c r="C920" s="2026"/>
      <c r="D920" s="2026"/>
      <c r="E920" s="2026"/>
      <c r="F920" s="2026"/>
      <c r="G920" s="2026"/>
      <c r="H920" s="2026"/>
      <c r="I920" s="2026"/>
      <c r="J920" s="2026"/>
      <c r="K920" s="2026"/>
      <c r="M920" s="2046"/>
    </row>
    <row r="922" spans="2:23" ht="33" customHeight="1">
      <c r="B922" s="2015" t="s">
        <v>1707</v>
      </c>
      <c r="C922" s="2015"/>
      <c r="D922" s="2015"/>
      <c r="E922" s="2015"/>
      <c r="F922" s="2015"/>
      <c r="G922" s="2015"/>
      <c r="H922" s="2015"/>
      <c r="I922" s="2015"/>
      <c r="J922" s="2015"/>
      <c r="K922" s="2015"/>
      <c r="N922" s="2015" t="s">
        <v>1986</v>
      </c>
      <c r="O922" s="2015"/>
      <c r="P922" s="2015"/>
      <c r="Q922" s="2015"/>
      <c r="R922" s="2015"/>
      <c r="S922" s="2015"/>
      <c r="T922" s="2015"/>
      <c r="U922" s="2015"/>
      <c r="V922" s="2015"/>
      <c r="W922" s="2015"/>
    </row>
    <row r="924" spans="2:23" ht="15.75">
      <c r="B924" s="2003" t="s">
        <v>1638</v>
      </c>
      <c r="C924" s="2003"/>
      <c r="D924" s="2003"/>
      <c r="E924" s="2003"/>
      <c r="F924" s="2003"/>
      <c r="G924" s="2003"/>
      <c r="H924" s="2003"/>
      <c r="I924" s="2003"/>
      <c r="J924" s="2003"/>
      <c r="K924" s="2003"/>
      <c r="N924" s="2003" t="s">
        <v>1987</v>
      </c>
      <c r="O924" s="2003"/>
      <c r="P924" s="2003"/>
      <c r="Q924" s="2003"/>
      <c r="R924" s="2003"/>
      <c r="S924" s="2003"/>
      <c r="T924" s="2003"/>
      <c r="U924" s="2003"/>
      <c r="V924" s="2003"/>
      <c r="W924" s="2003"/>
    </row>
    <row r="925" spans="2:23" ht="18">
      <c r="B925" s="1485" t="s">
        <v>1896</v>
      </c>
      <c r="K925" s="1910" t="s">
        <v>1656</v>
      </c>
      <c r="N925" s="1485" t="s">
        <v>1895</v>
      </c>
      <c r="W925" s="1909" t="str">
        <f>K925</f>
        <v>Таблица 30</v>
      </c>
    </row>
    <row r="926" spans="2:23">
      <c r="B926" s="2037" t="s">
        <v>12</v>
      </c>
      <c r="C926" s="2037" t="s">
        <v>1624</v>
      </c>
      <c r="D926" s="2037" t="s">
        <v>1242</v>
      </c>
      <c r="E926" s="2037"/>
      <c r="F926" s="2037"/>
      <c r="G926" s="2037"/>
      <c r="H926" s="2037"/>
      <c r="I926" s="2062" t="str">
        <f>CONCATENATE($F$4," год")</f>
        <v>2024 год</v>
      </c>
      <c r="J926" s="2063"/>
      <c r="K926" s="2064"/>
      <c r="N926" s="2037" t="s">
        <v>12</v>
      </c>
      <c r="O926" s="2037" t="s">
        <v>1624</v>
      </c>
      <c r="P926" s="2037" t="s">
        <v>1242</v>
      </c>
      <c r="Q926" s="2037"/>
      <c r="R926" s="2037"/>
      <c r="S926" s="2037"/>
      <c r="T926" s="2037"/>
      <c r="U926" s="2062" t="str">
        <f>CONCATENATE($F$4," год")</f>
        <v>2024 год</v>
      </c>
      <c r="V926" s="2063"/>
      <c r="W926" s="2064"/>
    </row>
    <row r="927" spans="2:23" ht="22.5">
      <c r="B927" s="2037"/>
      <c r="C927" s="2037"/>
      <c r="D927" s="2037"/>
      <c r="E927" s="2037"/>
      <c r="F927" s="2037"/>
      <c r="G927" s="2037"/>
      <c r="H927" s="2037"/>
      <c r="I927" s="1930" t="s">
        <v>1330</v>
      </c>
      <c r="J927" s="1930" t="s">
        <v>1290</v>
      </c>
      <c r="K927" s="1419" t="s">
        <v>263</v>
      </c>
      <c r="N927" s="2037"/>
      <c r="O927" s="2037"/>
      <c r="P927" s="2037"/>
      <c r="Q927" s="2037"/>
      <c r="R927" s="2037"/>
      <c r="S927" s="2037"/>
      <c r="T927" s="2037"/>
      <c r="U927" s="1930" t="s">
        <v>1330</v>
      </c>
      <c r="V927" s="1930" t="s">
        <v>1290</v>
      </c>
      <c r="W927" s="1419" t="s">
        <v>263</v>
      </c>
    </row>
    <row r="928" spans="2:23">
      <c r="B928" s="1905">
        <v>1</v>
      </c>
      <c r="C928" s="1905">
        <v>2</v>
      </c>
      <c r="D928" s="2054">
        <v>3</v>
      </c>
      <c r="E928" s="2054"/>
      <c r="F928" s="2054"/>
      <c r="G928" s="2054"/>
      <c r="H928" s="2054"/>
      <c r="I928" s="1428">
        <v>4</v>
      </c>
      <c r="J928" s="1428" t="s">
        <v>822</v>
      </c>
      <c r="K928" s="1428" t="s">
        <v>1550</v>
      </c>
      <c r="N928" s="1905">
        <v>1</v>
      </c>
      <c r="O928" s="1905">
        <v>2</v>
      </c>
      <c r="P928" s="2054">
        <v>3</v>
      </c>
      <c r="Q928" s="2054"/>
      <c r="R928" s="2054"/>
      <c r="S928" s="2054"/>
      <c r="T928" s="2054"/>
      <c r="U928" s="1428">
        <v>4</v>
      </c>
      <c r="V928" s="1428" t="s">
        <v>822</v>
      </c>
      <c r="W928" s="1428" t="s">
        <v>1550</v>
      </c>
    </row>
    <row r="929" spans="2:23" ht="24.75" customHeight="1">
      <c r="B929" s="2037" t="s">
        <v>234</v>
      </c>
      <c r="C929" s="2037" t="s">
        <v>2262</v>
      </c>
      <c r="D929" s="2056" t="s">
        <v>1638</v>
      </c>
      <c r="E929" s="2056"/>
      <c r="F929" s="2056"/>
      <c r="G929" s="2056"/>
      <c r="H929" s="2056"/>
      <c r="I929" s="2057">
        <f>I931-I932</f>
        <v>0</v>
      </c>
      <c r="J929" s="2057">
        <f>J931-J932</f>
        <v>0</v>
      </c>
      <c r="K929" s="2159">
        <f>IFERROR(J929-I929,"-")</f>
        <v>0</v>
      </c>
      <c r="N929" s="2037" t="s">
        <v>234</v>
      </c>
      <c r="O929" s="2052" t="s">
        <v>1989</v>
      </c>
      <c r="P929" s="2053" t="s">
        <v>1988</v>
      </c>
      <c r="Q929" s="2053"/>
      <c r="R929" s="2053"/>
      <c r="S929" s="2053"/>
      <c r="T929" s="2053"/>
      <c r="U929" s="2067">
        <f>U931-U932</f>
        <v>0</v>
      </c>
      <c r="V929" s="2067">
        <f>V931-V932</f>
        <v>0</v>
      </c>
      <c r="W929" s="2069">
        <f>IFERROR(V929-U929,"-")</f>
        <v>0</v>
      </c>
    </row>
    <row r="930" spans="2:23" ht="24.75" customHeight="1">
      <c r="B930" s="2037"/>
      <c r="C930" s="2037"/>
      <c r="D930" s="2037" t="s">
        <v>2260</v>
      </c>
      <c r="E930" s="2037"/>
      <c r="F930" s="2037"/>
      <c r="G930" s="2037"/>
      <c r="H930" s="2037"/>
      <c r="I930" s="2058"/>
      <c r="J930" s="2058"/>
      <c r="K930" s="2160"/>
      <c r="N930" s="2037"/>
      <c r="O930" s="2052"/>
      <c r="P930" s="2052" t="s">
        <v>1990</v>
      </c>
      <c r="Q930" s="2052"/>
      <c r="R930" s="2052"/>
      <c r="S930" s="2052"/>
      <c r="T930" s="2052"/>
      <c r="U930" s="2068"/>
      <c r="V930" s="2068"/>
      <c r="W930" s="2070"/>
    </row>
    <row r="931" spans="2:23" ht="33.75" customHeight="1">
      <c r="B931" s="1429" t="s">
        <v>237</v>
      </c>
      <c r="C931" s="1898" t="s">
        <v>2263</v>
      </c>
      <c r="D931" s="2076" t="s">
        <v>2261</v>
      </c>
      <c r="E931" s="2076"/>
      <c r="F931" s="2076"/>
      <c r="G931" s="2076"/>
      <c r="H931" s="2076"/>
      <c r="I931" s="1378"/>
      <c r="J931" s="1378"/>
      <c r="K931" s="1953">
        <f>IFERROR(J931-I931,"-")</f>
        <v>0</v>
      </c>
      <c r="N931" s="1429" t="s">
        <v>237</v>
      </c>
      <c r="O931" s="1908" t="s">
        <v>1991</v>
      </c>
      <c r="P931" s="2035" t="s">
        <v>1992</v>
      </c>
      <c r="Q931" s="2035"/>
      <c r="R931" s="2035"/>
      <c r="S931" s="2035"/>
      <c r="T931" s="2035"/>
      <c r="U931" s="1378"/>
      <c r="V931" s="1378"/>
      <c r="W931" s="1376">
        <f>IFERROR(V931-U931,"-")</f>
        <v>0</v>
      </c>
    </row>
    <row r="932" spans="2:23" ht="63.75" customHeight="1">
      <c r="B932" s="1429" t="s">
        <v>239</v>
      </c>
      <c r="C932" s="1898" t="s">
        <v>2264</v>
      </c>
      <c r="D932" s="2076" t="s">
        <v>2265</v>
      </c>
      <c r="E932" s="2076"/>
      <c r="F932" s="2076"/>
      <c r="G932" s="2076"/>
      <c r="H932" s="2076"/>
      <c r="I932" s="1378"/>
      <c r="J932" s="1378"/>
      <c r="K932" s="1953">
        <f>IFERROR(J932-I932,"-")</f>
        <v>0</v>
      </c>
      <c r="N932" s="1429" t="s">
        <v>239</v>
      </c>
      <c r="O932" s="1908" t="s">
        <v>1708</v>
      </c>
      <c r="P932" s="2035" t="s">
        <v>1709</v>
      </c>
      <c r="Q932" s="2035"/>
      <c r="R932" s="2035"/>
      <c r="S932" s="2035"/>
      <c r="T932" s="2035"/>
      <c r="U932" s="1378"/>
      <c r="V932" s="1378"/>
      <c r="W932" s="1376">
        <f>IFERROR(V932-U932,"-")</f>
        <v>0</v>
      </c>
    </row>
    <row r="934" spans="2:23">
      <c r="B934" s="2025" t="str">
        <f>CONCATENATE("Корректировка предложения «Организации» на ",$F$4," год составила ",K929,"   тыс. руб. на основании:")</f>
        <v>Корректировка предложения «Организации» на 2024 год составила 0   тыс. руб. на основании:</v>
      </c>
      <c r="C934" s="2025"/>
      <c r="D934" s="2025"/>
      <c r="E934" s="2025"/>
      <c r="F934" s="2025"/>
      <c r="G934" s="2025"/>
      <c r="H934" s="2025"/>
      <c r="I934" s="2025"/>
      <c r="J934" s="2025"/>
      <c r="K934" s="2025"/>
    </row>
    <row r="935" spans="2:23">
      <c r="B935" s="2026"/>
      <c r="C935" s="2026"/>
      <c r="D935" s="2026"/>
      <c r="E935" s="2026"/>
      <c r="F935" s="2026"/>
      <c r="G935" s="2026"/>
      <c r="H935" s="2026"/>
      <c r="I935" s="2026"/>
      <c r="J935" s="2026"/>
      <c r="K935" s="2026"/>
      <c r="M935" s="2044" t="s">
        <v>1412</v>
      </c>
    </row>
    <row r="936" spans="2:23">
      <c r="B936" s="2026"/>
      <c r="C936" s="2026"/>
      <c r="D936" s="2026"/>
      <c r="E936" s="2026"/>
      <c r="F936" s="2026"/>
      <c r="G936" s="2026"/>
      <c r="H936" s="2026"/>
      <c r="I936" s="2026"/>
      <c r="J936" s="2026"/>
      <c r="K936" s="2026"/>
      <c r="M936" s="2045"/>
    </row>
    <row r="937" spans="2:23">
      <c r="B937" s="2026"/>
      <c r="C937" s="2026"/>
      <c r="D937" s="2026"/>
      <c r="E937" s="2026"/>
      <c r="F937" s="2026"/>
      <c r="G937" s="2026"/>
      <c r="H937" s="2026"/>
      <c r="I937" s="2026"/>
      <c r="J937" s="2026"/>
      <c r="K937" s="2026"/>
      <c r="M937" s="2046"/>
    </row>
    <row r="939" spans="2:23" ht="33" customHeight="1">
      <c r="B939" s="2015" t="s">
        <v>1710</v>
      </c>
      <c r="C939" s="2015"/>
      <c r="D939" s="2015"/>
      <c r="E939" s="2015"/>
      <c r="F939" s="2015"/>
      <c r="G939" s="2015"/>
      <c r="H939" s="2015"/>
      <c r="I939" s="2015"/>
      <c r="J939" s="2015"/>
      <c r="K939" s="2015"/>
      <c r="N939" s="2015" t="s">
        <v>1994</v>
      </c>
      <c r="O939" s="2015"/>
      <c r="P939" s="2015"/>
      <c r="Q939" s="2015"/>
      <c r="R939" s="2015"/>
      <c r="S939" s="2015"/>
      <c r="T939" s="2015"/>
      <c r="U939" s="2015"/>
      <c r="V939" s="2015"/>
      <c r="W939" s="2015"/>
    </row>
    <row r="941" spans="2:23" ht="15.75">
      <c r="B941" s="2003" t="s">
        <v>1640</v>
      </c>
      <c r="C941" s="2003"/>
      <c r="D941" s="2003"/>
      <c r="E941" s="2003"/>
      <c r="F941" s="2003"/>
      <c r="G941" s="2003"/>
      <c r="H941" s="2003"/>
      <c r="I941" s="2003"/>
      <c r="J941" s="2003"/>
      <c r="K941" s="2003"/>
      <c r="N941" s="2003" t="s">
        <v>1943</v>
      </c>
      <c r="O941" s="2003"/>
      <c r="P941" s="2003"/>
      <c r="Q941" s="2003"/>
      <c r="R941" s="2003"/>
      <c r="S941" s="2003"/>
      <c r="T941" s="2003"/>
      <c r="U941" s="2003"/>
      <c r="V941" s="2003"/>
      <c r="W941" s="2003"/>
    </row>
    <row r="942" spans="2:23" ht="18">
      <c r="B942" s="1485" t="s">
        <v>1896</v>
      </c>
      <c r="K942" s="1910" t="s">
        <v>1675</v>
      </c>
      <c r="N942" s="1485" t="s">
        <v>1895</v>
      </c>
      <c r="W942" s="1909" t="str">
        <f>K942</f>
        <v>Таблица 31</v>
      </c>
    </row>
    <row r="943" spans="2:23">
      <c r="B943" s="2123" t="s">
        <v>12</v>
      </c>
      <c r="C943" s="2123" t="s">
        <v>1624</v>
      </c>
      <c r="D943" s="2123" t="s">
        <v>954</v>
      </c>
      <c r="E943" s="2123"/>
      <c r="F943" s="2123"/>
      <c r="G943" s="2123"/>
      <c r="H943" s="2123" t="s">
        <v>262</v>
      </c>
      <c r="I943" s="2062" t="str">
        <f>CONCATENATE($F$4," год")</f>
        <v>2024 год</v>
      </c>
      <c r="J943" s="2063"/>
      <c r="K943" s="2064"/>
      <c r="N943" s="2022" t="s">
        <v>12</v>
      </c>
      <c r="O943" s="2022" t="s">
        <v>1624</v>
      </c>
      <c r="P943" s="2022" t="s">
        <v>954</v>
      </c>
      <c r="Q943" s="2022"/>
      <c r="R943" s="2022"/>
      <c r="S943" s="2022"/>
      <c r="T943" s="2022" t="s">
        <v>262</v>
      </c>
      <c r="U943" s="2062" t="str">
        <f>CONCATENATE($F$4," год")</f>
        <v>2024 год</v>
      </c>
      <c r="V943" s="2063"/>
      <c r="W943" s="2064"/>
    </row>
    <row r="944" spans="2:23" ht="22.5">
      <c r="B944" s="2123"/>
      <c r="C944" s="2123"/>
      <c r="D944" s="2123"/>
      <c r="E944" s="2123"/>
      <c r="F944" s="2123"/>
      <c r="G944" s="2123"/>
      <c r="H944" s="2123"/>
      <c r="I944" s="1930" t="s">
        <v>1330</v>
      </c>
      <c r="J944" s="1930" t="s">
        <v>1290</v>
      </c>
      <c r="K944" s="1419" t="s">
        <v>263</v>
      </c>
      <c r="N944" s="2022"/>
      <c r="O944" s="2022"/>
      <c r="P944" s="2022"/>
      <c r="Q944" s="2022"/>
      <c r="R944" s="2022"/>
      <c r="S944" s="2022"/>
      <c r="T944" s="2022"/>
      <c r="U944" s="1930" t="s">
        <v>1330</v>
      </c>
      <c r="V944" s="1930" t="s">
        <v>1290</v>
      </c>
      <c r="W944" s="1419" t="s">
        <v>263</v>
      </c>
    </row>
    <row r="945" spans="2:23">
      <c r="B945" s="1929">
        <v>1</v>
      </c>
      <c r="C945" s="1929">
        <v>2</v>
      </c>
      <c r="D945" s="2162">
        <v>3</v>
      </c>
      <c r="E945" s="2162"/>
      <c r="F945" s="2162"/>
      <c r="G945" s="2162"/>
      <c r="H945" s="1929">
        <v>4</v>
      </c>
      <c r="I945" s="1428" t="s">
        <v>822</v>
      </c>
      <c r="J945" s="1428" t="s">
        <v>824</v>
      </c>
      <c r="K945" s="1428" t="s">
        <v>1657</v>
      </c>
      <c r="N945" s="1904">
        <v>1</v>
      </c>
      <c r="O945" s="1904">
        <v>2</v>
      </c>
      <c r="P945" s="2066">
        <v>3</v>
      </c>
      <c r="Q945" s="2066"/>
      <c r="R945" s="2066"/>
      <c r="S945" s="2066"/>
      <c r="T945" s="1904">
        <v>4</v>
      </c>
      <c r="U945" s="1428" t="s">
        <v>822</v>
      </c>
      <c r="V945" s="1428" t="s">
        <v>824</v>
      </c>
      <c r="W945" s="1428" t="s">
        <v>1657</v>
      </c>
    </row>
    <row r="946" spans="2:23" ht="31.5" customHeight="1">
      <c r="B946" s="2123" t="s">
        <v>234</v>
      </c>
      <c r="C946" s="2037" t="s">
        <v>2273</v>
      </c>
      <c r="D946" s="2163" t="s">
        <v>1712</v>
      </c>
      <c r="E946" s="2163"/>
      <c r="F946" s="2163"/>
      <c r="G946" s="2163"/>
      <c r="H946" s="2123" t="s">
        <v>226</v>
      </c>
      <c r="I946" s="2161">
        <f>MIN(I948,I952*I949)*I950-I949*I951*I952</f>
        <v>0</v>
      </c>
      <c r="J946" s="2161">
        <f>MIN(J948,J952*J949)*J950-J949*J951*J952</f>
        <v>0</v>
      </c>
      <c r="K946" s="2159">
        <f>IFERROR(J946-I946,"-")</f>
        <v>0</v>
      </c>
      <c r="N946" s="2023" t="s">
        <v>234</v>
      </c>
      <c r="O946" s="2052" t="s">
        <v>1996</v>
      </c>
      <c r="P946" s="2059" t="s">
        <v>1995</v>
      </c>
      <c r="Q946" s="2059"/>
      <c r="R946" s="2059"/>
      <c r="S946" s="2059"/>
      <c r="T946" s="2023" t="s">
        <v>226</v>
      </c>
      <c r="U946" s="2065">
        <f>U949*U951*U952-MIN(U948,U952*U949)*U950</f>
        <v>0</v>
      </c>
      <c r="V946" s="2065">
        <f>V949*V951*V952-MIN(V948,V952*V949)*V950</f>
        <v>0</v>
      </c>
      <c r="W946" s="2065">
        <f>IFERROR(V946-U946,"-")</f>
        <v>0</v>
      </c>
    </row>
    <row r="947" spans="2:23" ht="31.5" customHeight="1">
      <c r="B947" s="2123"/>
      <c r="C947" s="2037"/>
      <c r="D947" s="2123" t="s">
        <v>2266</v>
      </c>
      <c r="E947" s="2123"/>
      <c r="F947" s="2123"/>
      <c r="G947" s="2123"/>
      <c r="H947" s="2123"/>
      <c r="I947" s="2161"/>
      <c r="J947" s="2161"/>
      <c r="K947" s="2160"/>
      <c r="N947" s="2023"/>
      <c r="O947" s="2052"/>
      <c r="P947" s="2023" t="s">
        <v>1997</v>
      </c>
      <c r="Q947" s="2023"/>
      <c r="R947" s="2023"/>
      <c r="S947" s="2023"/>
      <c r="T947" s="2023"/>
      <c r="U947" s="2065"/>
      <c r="V947" s="2065"/>
      <c r="W947" s="2065"/>
    </row>
    <row r="948" spans="2:23">
      <c r="B948" s="1919" t="s">
        <v>237</v>
      </c>
      <c r="C948" s="1919" t="s">
        <v>2274</v>
      </c>
      <c r="D948" s="2164" t="s">
        <v>2267</v>
      </c>
      <c r="E948" s="2144"/>
      <c r="F948" s="2144"/>
      <c r="G948" s="2145"/>
      <c r="H948" s="1435" t="s">
        <v>249</v>
      </c>
      <c r="I948" s="1378"/>
      <c r="J948" s="1378"/>
      <c r="K948" s="1953">
        <f>IFERROR(J948-I948,"-")</f>
        <v>0</v>
      </c>
      <c r="N948" s="1891" t="s">
        <v>237</v>
      </c>
      <c r="O948" s="1891" t="s">
        <v>1713</v>
      </c>
      <c r="P948" s="2061" t="s">
        <v>1714</v>
      </c>
      <c r="Q948" s="2036"/>
      <c r="R948" s="2036"/>
      <c r="S948" s="2036"/>
      <c r="T948" s="1679" t="s">
        <v>249</v>
      </c>
      <c r="U948" s="1681"/>
      <c r="V948" s="1681"/>
      <c r="W948" s="1682">
        <f>IFERROR(V948-U948,"-")</f>
        <v>0</v>
      </c>
    </row>
    <row r="949" spans="2:23" ht="46.5" customHeight="1">
      <c r="B949" s="1919" t="s">
        <v>239</v>
      </c>
      <c r="C949" s="1919" t="s">
        <v>2275</v>
      </c>
      <c r="D949" s="2164" t="s">
        <v>2268</v>
      </c>
      <c r="E949" s="2144"/>
      <c r="F949" s="2144"/>
      <c r="G949" s="2145"/>
      <c r="H949" s="1435" t="s">
        <v>249</v>
      </c>
      <c r="I949" s="1378"/>
      <c r="J949" s="1378"/>
      <c r="K949" s="1953">
        <f>IFERROR(J949-I949,"-")</f>
        <v>0</v>
      </c>
      <c r="N949" s="1891" t="s">
        <v>239</v>
      </c>
      <c r="O949" s="1891" t="s">
        <v>1715</v>
      </c>
      <c r="P949" s="2061" t="s">
        <v>1716</v>
      </c>
      <c r="Q949" s="2036"/>
      <c r="R949" s="2036"/>
      <c r="S949" s="2036"/>
      <c r="T949" s="1679" t="s">
        <v>249</v>
      </c>
      <c r="U949" s="1681"/>
      <c r="V949" s="1681"/>
      <c r="W949" s="1682">
        <f>IFERROR(V949-U949,"-")</f>
        <v>0</v>
      </c>
    </row>
    <row r="950" spans="2:23" ht="46.5" customHeight="1">
      <c r="B950" s="1919" t="s">
        <v>242</v>
      </c>
      <c r="C950" s="1919" t="s">
        <v>2276</v>
      </c>
      <c r="D950" s="2164" t="s">
        <v>2269</v>
      </c>
      <c r="E950" s="2144"/>
      <c r="F950" s="2144"/>
      <c r="G950" s="2145"/>
      <c r="H950" s="1435" t="s">
        <v>285</v>
      </c>
      <c r="I950" s="1378"/>
      <c r="J950" s="1378"/>
      <c r="K950" s="1953">
        <f>IFERROR(J950-I950,"-")</f>
        <v>0</v>
      </c>
      <c r="N950" s="1891" t="s">
        <v>242</v>
      </c>
      <c r="O950" s="1891" t="s">
        <v>1717</v>
      </c>
      <c r="P950" s="2061" t="s">
        <v>1718</v>
      </c>
      <c r="Q950" s="2036"/>
      <c r="R950" s="2036"/>
      <c r="S950" s="2036"/>
      <c r="T950" s="1679" t="s">
        <v>285</v>
      </c>
      <c r="U950" s="1681"/>
      <c r="V950" s="1681"/>
      <c r="W950" s="1682">
        <f>IFERROR(V950-U950,"-")</f>
        <v>0</v>
      </c>
    </row>
    <row r="951" spans="2:23" ht="46.5" customHeight="1">
      <c r="B951" s="1919" t="s">
        <v>899</v>
      </c>
      <c r="C951" s="1919" t="s">
        <v>2277</v>
      </c>
      <c r="D951" s="2164" t="s">
        <v>2270</v>
      </c>
      <c r="E951" s="2144"/>
      <c r="F951" s="2144"/>
      <c r="G951" s="2145"/>
      <c r="H951" s="1435" t="s">
        <v>285</v>
      </c>
      <c r="I951" s="1378"/>
      <c r="J951" s="1378"/>
      <c r="K951" s="1953">
        <f>IFERROR(J951-I951,"-")</f>
        <v>0</v>
      </c>
      <c r="N951" s="1891" t="s">
        <v>899</v>
      </c>
      <c r="O951" s="1891" t="s">
        <v>1719</v>
      </c>
      <c r="P951" s="2061" t="s">
        <v>1720</v>
      </c>
      <c r="Q951" s="2036"/>
      <c r="R951" s="2036"/>
      <c r="S951" s="2036"/>
      <c r="T951" s="1679" t="s">
        <v>285</v>
      </c>
      <c r="U951" s="1681"/>
      <c r="V951" s="1681"/>
      <c r="W951" s="1682">
        <f>IFERROR(V951-U951,"-")</f>
        <v>0</v>
      </c>
    </row>
    <row r="952" spans="2:23" ht="46.5" customHeight="1">
      <c r="B952" s="1919" t="s">
        <v>860</v>
      </c>
      <c r="C952" s="1919" t="s">
        <v>2272</v>
      </c>
      <c r="D952" s="2165" t="s">
        <v>2271</v>
      </c>
      <c r="E952" s="2078"/>
      <c r="F952" s="2078"/>
      <c r="G952" s="2078"/>
      <c r="H952" s="1435" t="s">
        <v>268</v>
      </c>
      <c r="I952" s="1393"/>
      <c r="J952" s="1393"/>
      <c r="K952" s="1961">
        <f>IFERROR(J952-I952,"-")</f>
        <v>0</v>
      </c>
      <c r="N952" s="1891" t="s">
        <v>860</v>
      </c>
      <c r="O952" s="1891" t="s">
        <v>1721</v>
      </c>
      <c r="P952" s="2061" t="s">
        <v>1722</v>
      </c>
      <c r="Q952" s="2036"/>
      <c r="R952" s="2036"/>
      <c r="S952" s="2036"/>
      <c r="T952" s="1679" t="s">
        <v>268</v>
      </c>
      <c r="U952" s="1681"/>
      <c r="V952" s="1681"/>
      <c r="W952" s="1682">
        <f>IFERROR(V952-U952,"-")</f>
        <v>0</v>
      </c>
    </row>
    <row r="954" spans="2:23">
      <c r="B954" s="2025" t="str">
        <f>CONCATENATE("Корректировка предложения «Организации» на ",$F$4," год составила ",K946,"   тыс. руб. на основании:")</f>
        <v>Корректировка предложения «Организации» на 2024 год составила 0   тыс. руб. на основании:</v>
      </c>
      <c r="C954" s="2025"/>
      <c r="D954" s="2025"/>
      <c r="E954" s="2025"/>
      <c r="F954" s="2025"/>
      <c r="G954" s="2025"/>
      <c r="H954" s="2025"/>
      <c r="I954" s="2025"/>
      <c r="J954" s="2025"/>
      <c r="K954" s="2025"/>
    </row>
    <row r="955" spans="2:23">
      <c r="B955" s="2026"/>
      <c r="C955" s="2026"/>
      <c r="D955" s="2026"/>
      <c r="E955" s="2026"/>
      <c r="F955" s="2026"/>
      <c r="G955" s="2026"/>
      <c r="H955" s="2026"/>
      <c r="I955" s="2026"/>
      <c r="J955" s="2026"/>
      <c r="K955" s="2026"/>
      <c r="M955" s="2044" t="s">
        <v>1412</v>
      </c>
    </row>
    <row r="956" spans="2:23">
      <c r="B956" s="2026"/>
      <c r="C956" s="2026"/>
      <c r="D956" s="2026"/>
      <c r="E956" s="2026"/>
      <c r="F956" s="2026"/>
      <c r="G956" s="2026"/>
      <c r="H956" s="2026"/>
      <c r="I956" s="2026"/>
      <c r="J956" s="2026"/>
      <c r="K956" s="2026"/>
      <c r="M956" s="2045"/>
    </row>
    <row r="957" spans="2:23">
      <c r="B957" s="2026"/>
      <c r="C957" s="2026"/>
      <c r="D957" s="2026"/>
      <c r="E957" s="2026"/>
      <c r="F957" s="2026"/>
      <c r="G957" s="2026"/>
      <c r="H957" s="2026"/>
      <c r="I957" s="2026"/>
      <c r="J957" s="2026"/>
      <c r="K957" s="2026"/>
      <c r="M957" s="2046"/>
    </row>
    <row r="959" spans="2:23" ht="33" customHeight="1">
      <c r="B959" s="2015" t="s">
        <v>1723</v>
      </c>
      <c r="C959" s="2015"/>
      <c r="D959" s="2015"/>
      <c r="E959" s="2015"/>
      <c r="F959" s="2015"/>
      <c r="G959" s="2015"/>
      <c r="H959" s="2015"/>
      <c r="I959" s="2015"/>
      <c r="J959" s="2015"/>
      <c r="K959" s="2015"/>
    </row>
    <row r="961" spans="2:11" ht="15.75" hidden="1" outlineLevel="1">
      <c r="B961" s="2003" t="s">
        <v>1724</v>
      </c>
      <c r="C961" s="2003"/>
      <c r="D961" s="2003"/>
      <c r="E961" s="2003"/>
      <c r="F961" s="2003"/>
      <c r="G961" s="2003"/>
      <c r="H961" s="2003"/>
      <c r="I961" s="2003"/>
      <c r="J961" s="2003"/>
      <c r="K961" s="2003"/>
    </row>
    <row r="962" spans="2:11" ht="18" hidden="1" outlineLevel="1">
      <c r="B962" s="1485" t="s">
        <v>1998</v>
      </c>
      <c r="K962" s="1910" t="s">
        <v>1711</v>
      </c>
    </row>
    <row r="963" spans="2:11" hidden="1" outlineLevel="1">
      <c r="B963" s="2055" t="s">
        <v>12</v>
      </c>
      <c r="C963" s="2055" t="s">
        <v>1624</v>
      </c>
      <c r="D963" s="2037" t="s">
        <v>1242</v>
      </c>
      <c r="E963" s="2037"/>
      <c r="F963" s="2037"/>
      <c r="G963" s="2037"/>
      <c r="H963" s="2037"/>
      <c r="I963" s="2062" t="str">
        <f>CONCATENATE($F$4," год")</f>
        <v>2024 год</v>
      </c>
      <c r="J963" s="2063"/>
      <c r="K963" s="2064"/>
    </row>
    <row r="964" spans="2:11" ht="22.5" hidden="1" outlineLevel="1">
      <c r="B964" s="2055"/>
      <c r="C964" s="2055"/>
      <c r="D964" s="2037"/>
      <c r="E964" s="2037"/>
      <c r="F964" s="2037"/>
      <c r="G964" s="2037"/>
      <c r="H964" s="2037"/>
      <c r="I964" s="1930" t="s">
        <v>1330</v>
      </c>
      <c r="J964" s="1930" t="s">
        <v>1290</v>
      </c>
      <c r="K964" s="1419" t="s">
        <v>263</v>
      </c>
    </row>
    <row r="965" spans="2:11" hidden="1" outlineLevel="1">
      <c r="B965" s="1397">
        <v>1</v>
      </c>
      <c r="C965" s="1397">
        <v>2</v>
      </c>
      <c r="D965" s="2054">
        <v>3</v>
      </c>
      <c r="E965" s="2054"/>
      <c r="F965" s="2054"/>
      <c r="G965" s="2054"/>
      <c r="H965" s="2054"/>
      <c r="I965" s="1428" t="s">
        <v>822</v>
      </c>
      <c r="J965" s="1428" t="s">
        <v>824</v>
      </c>
      <c r="K965" s="1428" t="s">
        <v>1657</v>
      </c>
    </row>
    <row r="966" spans="2:11" ht="19.5" hidden="1" customHeight="1" outlineLevel="1">
      <c r="B966" s="2123" t="s">
        <v>234</v>
      </c>
      <c r="C966" s="2037" t="s">
        <v>1726</v>
      </c>
      <c r="D966" s="2056" t="s">
        <v>1727</v>
      </c>
      <c r="E966" s="2056"/>
      <c r="F966" s="2056"/>
      <c r="G966" s="2056"/>
      <c r="H966" s="2056"/>
      <c r="I966" s="2057">
        <f>I968-I975</f>
        <v>0</v>
      </c>
      <c r="J966" s="2057">
        <f>J968-J975</f>
        <v>0</v>
      </c>
      <c r="K966" s="2159">
        <f>IFERROR(J966-I966,"-")</f>
        <v>0</v>
      </c>
    </row>
    <row r="967" spans="2:11" ht="19.5" hidden="1" customHeight="1" outlineLevel="1">
      <c r="B967" s="2123"/>
      <c r="C967" s="2037"/>
      <c r="D967" s="2056" t="s">
        <v>1728</v>
      </c>
      <c r="E967" s="2056"/>
      <c r="F967" s="2056"/>
      <c r="G967" s="2056"/>
      <c r="H967" s="2056"/>
      <c r="I967" s="2058"/>
      <c r="J967" s="2058"/>
      <c r="K967" s="2160"/>
    </row>
    <row r="968" spans="2:11" ht="19.5" hidden="1" customHeight="1" outlineLevel="1">
      <c r="B968" s="1918" t="s">
        <v>237</v>
      </c>
      <c r="C968" s="1918" t="s">
        <v>1729</v>
      </c>
      <c r="D968" s="2056" t="s">
        <v>1730</v>
      </c>
      <c r="E968" s="2056"/>
      <c r="F968" s="2056"/>
      <c r="G968" s="2056"/>
      <c r="H968" s="2056"/>
      <c r="I968" s="1984">
        <f>SUM(I969:I974)</f>
        <v>0</v>
      </c>
      <c r="J968" s="1984">
        <f>SUM(J969:J974)</f>
        <v>0</v>
      </c>
      <c r="K968" s="1953">
        <f t="shared" ref="K968:K981" si="25">IFERROR(J968-I968,"-")</f>
        <v>0</v>
      </c>
    </row>
    <row r="969" spans="2:11" ht="19.5" hidden="1" customHeight="1" outlineLevel="1">
      <c r="B969" s="1919" t="s">
        <v>520</v>
      </c>
      <c r="C969" s="1919"/>
      <c r="D969" s="2076" t="s">
        <v>1731</v>
      </c>
      <c r="E969" s="2076"/>
      <c r="F969" s="2076"/>
      <c r="G969" s="2076"/>
      <c r="H969" s="2076"/>
      <c r="I969" s="1431"/>
      <c r="J969" s="1431"/>
      <c r="K969" s="1953">
        <f t="shared" si="25"/>
        <v>0</v>
      </c>
    </row>
    <row r="970" spans="2:11" ht="19.5" hidden="1" customHeight="1" outlineLevel="1">
      <c r="B970" s="1919" t="s">
        <v>527</v>
      </c>
      <c r="C970" s="1919"/>
      <c r="D970" s="2076" t="s">
        <v>1732</v>
      </c>
      <c r="E970" s="2076"/>
      <c r="F970" s="2076"/>
      <c r="G970" s="2076"/>
      <c r="H970" s="2076"/>
      <c r="I970" s="1431"/>
      <c r="J970" s="1431"/>
      <c r="K970" s="1953">
        <f t="shared" si="25"/>
        <v>0</v>
      </c>
    </row>
    <row r="971" spans="2:11" ht="19.5" hidden="1" customHeight="1" outlineLevel="1">
      <c r="B971" s="1919" t="s">
        <v>533</v>
      </c>
      <c r="C971" s="1919"/>
      <c r="D971" s="2076" t="s">
        <v>1733</v>
      </c>
      <c r="E971" s="2076"/>
      <c r="F971" s="2076"/>
      <c r="G971" s="2076"/>
      <c r="H971" s="2076"/>
      <c r="I971" s="1431"/>
      <c r="J971" s="1431"/>
      <c r="K971" s="1953">
        <f t="shared" si="25"/>
        <v>0</v>
      </c>
    </row>
    <row r="972" spans="2:11" ht="19.5" hidden="1" customHeight="1" outlineLevel="1">
      <c r="B972" s="1919" t="s">
        <v>581</v>
      </c>
      <c r="C972" s="1919"/>
      <c r="D972" s="2166" t="s">
        <v>1734</v>
      </c>
      <c r="E972" s="2166"/>
      <c r="F972" s="2166"/>
      <c r="G972" s="2166"/>
      <c r="H972" s="2166"/>
      <c r="I972" s="1431"/>
      <c r="J972" s="1431"/>
      <c r="K972" s="1953">
        <f t="shared" si="25"/>
        <v>0</v>
      </c>
    </row>
    <row r="973" spans="2:11" ht="19.5" hidden="1" customHeight="1" outlineLevel="1">
      <c r="B973" s="1919" t="s">
        <v>583</v>
      </c>
      <c r="C973" s="1919"/>
      <c r="D973" s="2166" t="s">
        <v>1734</v>
      </c>
      <c r="E973" s="2166"/>
      <c r="F973" s="2166"/>
      <c r="G973" s="2166"/>
      <c r="H973" s="2166"/>
      <c r="I973" s="1431"/>
      <c r="J973" s="1431"/>
      <c r="K973" s="1953">
        <f t="shared" si="25"/>
        <v>0</v>
      </c>
    </row>
    <row r="974" spans="2:11" ht="19.5" hidden="1" customHeight="1" outlineLevel="1">
      <c r="B974" s="1919" t="s">
        <v>587</v>
      </c>
      <c r="C974" s="1919"/>
      <c r="D974" s="2166" t="s">
        <v>1734</v>
      </c>
      <c r="E974" s="2166"/>
      <c r="F974" s="2166"/>
      <c r="G974" s="2166"/>
      <c r="H974" s="2166"/>
      <c r="I974" s="1431"/>
      <c r="J974" s="1431"/>
      <c r="K974" s="1953">
        <f t="shared" si="25"/>
        <v>0</v>
      </c>
    </row>
    <row r="975" spans="2:11" ht="19.5" hidden="1" customHeight="1" outlineLevel="1">
      <c r="B975" s="1918" t="s">
        <v>239</v>
      </c>
      <c r="C975" s="1918" t="s">
        <v>1735</v>
      </c>
      <c r="D975" s="2056" t="s">
        <v>1736</v>
      </c>
      <c r="E975" s="2056"/>
      <c r="F975" s="2056"/>
      <c r="G975" s="2056"/>
      <c r="H975" s="2056"/>
      <c r="I975" s="1984">
        <f>SUM(I976:I981)</f>
        <v>0</v>
      </c>
      <c r="J975" s="1984">
        <f>SUM(J976:J981)</f>
        <v>0</v>
      </c>
      <c r="K975" s="1953">
        <f t="shared" si="25"/>
        <v>0</v>
      </c>
    </row>
    <row r="976" spans="2:11" ht="19.5" hidden="1" customHeight="1" outlineLevel="1">
      <c r="B976" s="1919" t="s">
        <v>455</v>
      </c>
      <c r="C976" s="1919"/>
      <c r="D976" s="2076" t="s">
        <v>1731</v>
      </c>
      <c r="E976" s="2076"/>
      <c r="F976" s="2076"/>
      <c r="G976" s="2076"/>
      <c r="H976" s="2076"/>
      <c r="I976" s="1431"/>
      <c r="J976" s="1431"/>
      <c r="K976" s="1953">
        <f t="shared" si="25"/>
        <v>0</v>
      </c>
    </row>
    <row r="977" spans="2:23" ht="19.5" hidden="1" customHeight="1" outlineLevel="1">
      <c r="B977" s="1919" t="s">
        <v>464</v>
      </c>
      <c r="C977" s="1919"/>
      <c r="D977" s="2076" t="s">
        <v>1732</v>
      </c>
      <c r="E977" s="2076"/>
      <c r="F977" s="2076"/>
      <c r="G977" s="2076"/>
      <c r="H977" s="2076"/>
      <c r="I977" s="1431"/>
      <c r="J977" s="1431"/>
      <c r="K977" s="1953">
        <f t="shared" si="25"/>
        <v>0</v>
      </c>
    </row>
    <row r="978" spans="2:23" ht="19.5" hidden="1" customHeight="1" outlineLevel="1">
      <c r="B978" s="1919" t="s">
        <v>1385</v>
      </c>
      <c r="C978" s="1919"/>
      <c r="D978" s="2076" t="s">
        <v>1733</v>
      </c>
      <c r="E978" s="2076"/>
      <c r="F978" s="2076"/>
      <c r="G978" s="2076"/>
      <c r="H978" s="2076"/>
      <c r="I978" s="1431"/>
      <c r="J978" s="1431"/>
      <c r="K978" s="1953">
        <f t="shared" si="25"/>
        <v>0</v>
      </c>
    </row>
    <row r="979" spans="2:23" ht="19.5" hidden="1" customHeight="1" outlineLevel="1">
      <c r="B979" s="1919" t="s">
        <v>1507</v>
      </c>
      <c r="C979" s="1919"/>
      <c r="D979" s="2166" t="s">
        <v>1734</v>
      </c>
      <c r="E979" s="2166"/>
      <c r="F979" s="2166"/>
      <c r="G979" s="2166"/>
      <c r="H979" s="2166"/>
      <c r="I979" s="1431"/>
      <c r="J979" s="1431"/>
      <c r="K979" s="1953">
        <f t="shared" si="25"/>
        <v>0</v>
      </c>
    </row>
    <row r="980" spans="2:23" ht="19.5" hidden="1" customHeight="1" outlineLevel="1">
      <c r="B980" s="1919" t="s">
        <v>1508</v>
      </c>
      <c r="C980" s="1919"/>
      <c r="D980" s="2166" t="s">
        <v>1734</v>
      </c>
      <c r="E980" s="2166"/>
      <c r="F980" s="2166"/>
      <c r="G980" s="2166"/>
      <c r="H980" s="2166"/>
      <c r="I980" s="1431"/>
      <c r="J980" s="1431"/>
      <c r="K980" s="1953">
        <f t="shared" si="25"/>
        <v>0</v>
      </c>
    </row>
    <row r="981" spans="2:23" ht="19.5" hidden="1" customHeight="1" outlineLevel="1">
      <c r="B981" s="1919" t="s">
        <v>1737</v>
      </c>
      <c r="C981" s="1919"/>
      <c r="D981" s="2166" t="s">
        <v>1734</v>
      </c>
      <c r="E981" s="2166"/>
      <c r="F981" s="2166"/>
      <c r="G981" s="2166"/>
      <c r="H981" s="2166"/>
      <c r="I981" s="1431"/>
      <c r="J981" s="1431"/>
      <c r="K981" s="1953">
        <f t="shared" si="25"/>
        <v>0</v>
      </c>
    </row>
    <row r="982" spans="2:23" hidden="1" outlineLevel="1"/>
    <row r="983" spans="2:23" hidden="1" outlineLevel="1">
      <c r="B983" s="2025" t="str">
        <f>CONCATENATE("Корректировка предложения «Организации» на ",$F$4," год составила ",K966,"   тыс. руб. на основании:")</f>
        <v>Корректировка предложения «Организации» на 2024 год составила 0   тыс. руб. на основании:</v>
      </c>
      <c r="C983" s="2025"/>
      <c r="D983" s="2025"/>
      <c r="E983" s="2025"/>
      <c r="F983" s="2025"/>
      <c r="G983" s="2025"/>
      <c r="H983" s="2025"/>
      <c r="I983" s="2025"/>
      <c r="J983" s="2025"/>
      <c r="K983" s="2025"/>
    </row>
    <row r="984" spans="2:23" hidden="1" outlineLevel="1">
      <c r="B984" s="2026"/>
      <c r="C984" s="2026"/>
      <c r="D984" s="2026"/>
      <c r="E984" s="2026"/>
      <c r="F984" s="2026"/>
      <c r="G984" s="2026"/>
      <c r="H984" s="2026"/>
      <c r="I984" s="2026"/>
      <c r="J984" s="2026"/>
      <c r="K984" s="2026"/>
      <c r="M984" s="2044" t="s">
        <v>1412</v>
      </c>
    </row>
    <row r="985" spans="2:23" hidden="1" outlineLevel="1">
      <c r="B985" s="2026"/>
      <c r="C985" s="2026"/>
      <c r="D985" s="2026"/>
      <c r="E985" s="2026"/>
      <c r="F985" s="2026"/>
      <c r="G985" s="2026"/>
      <c r="H985" s="2026"/>
      <c r="I985" s="2026"/>
      <c r="J985" s="2026"/>
      <c r="K985" s="2026"/>
      <c r="M985" s="2045"/>
    </row>
    <row r="986" spans="2:23" hidden="1" outlineLevel="1">
      <c r="B986" s="2026"/>
      <c r="C986" s="2026"/>
      <c r="D986" s="2026"/>
      <c r="E986" s="2026"/>
      <c r="F986" s="2026"/>
      <c r="G986" s="2026"/>
      <c r="H986" s="2026"/>
      <c r="I986" s="2026"/>
      <c r="J986" s="2026"/>
      <c r="K986" s="2026"/>
      <c r="M986" s="2046"/>
    </row>
    <row r="987" spans="2:23" collapsed="1"/>
    <row r="988" spans="2:23" ht="33" customHeight="1">
      <c r="B988" s="2015" t="s">
        <v>1738</v>
      </c>
      <c r="C988" s="2015"/>
      <c r="D988" s="2015"/>
      <c r="E988" s="2015"/>
      <c r="F988" s="2015"/>
      <c r="G988" s="2015"/>
      <c r="H988" s="2015"/>
      <c r="I988" s="2015"/>
      <c r="J988" s="2015"/>
      <c r="K988" s="2015"/>
      <c r="N988" s="2015" t="s">
        <v>1738</v>
      </c>
      <c r="O988" s="2015"/>
      <c r="P988" s="2015"/>
      <c r="Q988" s="2015"/>
      <c r="R988" s="2015"/>
      <c r="S988" s="2015"/>
      <c r="T988" s="2015"/>
      <c r="U988" s="2015"/>
      <c r="V988" s="2015"/>
      <c r="W988" s="2015"/>
    </row>
    <row r="990" spans="2:23" ht="15.75">
      <c r="B990" s="2003" t="s">
        <v>1597</v>
      </c>
      <c r="C990" s="2003"/>
      <c r="D990" s="2003"/>
      <c r="E990" s="2003"/>
      <c r="F990" s="2003"/>
      <c r="G990" s="2003"/>
      <c r="H990" s="2003"/>
      <c r="I990" s="2003"/>
      <c r="J990" s="2003"/>
      <c r="K990" s="2003"/>
      <c r="N990" s="2003" t="s">
        <v>1597</v>
      </c>
      <c r="O990" s="2003"/>
      <c r="P990" s="2003"/>
      <c r="Q990" s="2003"/>
      <c r="R990" s="2003"/>
      <c r="S990" s="2003"/>
      <c r="T990" s="2003"/>
      <c r="U990" s="2003"/>
      <c r="V990" s="2003"/>
      <c r="W990" s="2003"/>
    </row>
    <row r="991" spans="2:23">
      <c r="K991" s="1910" t="s">
        <v>1725</v>
      </c>
    </row>
    <row r="992" spans="2:23">
      <c r="B992" s="2055" t="s">
        <v>12</v>
      </c>
      <c r="C992" s="2055" t="s">
        <v>1624</v>
      </c>
      <c r="D992" s="2037" t="s">
        <v>1242</v>
      </c>
      <c r="E992" s="2037"/>
      <c r="F992" s="2037"/>
      <c r="G992" s="2037"/>
      <c r="H992" s="2037"/>
      <c r="I992" s="2062" t="str">
        <f>CONCATENATE($F$4," год")</f>
        <v>2024 год</v>
      </c>
      <c r="J992" s="2063"/>
      <c r="K992" s="2064"/>
      <c r="N992" s="2022" t="s">
        <v>12</v>
      </c>
      <c r="O992" s="2022" t="s">
        <v>1624</v>
      </c>
      <c r="P992" s="2052" t="s">
        <v>1242</v>
      </c>
      <c r="Q992" s="2052"/>
      <c r="R992" s="2052"/>
      <c r="S992" s="2052"/>
      <c r="T992" s="2052"/>
      <c r="U992" s="2048" t="str">
        <f>CONCATENATE($F$4," год")</f>
        <v>2024 год</v>
      </c>
      <c r="V992" s="2048"/>
      <c r="W992" s="2048"/>
    </row>
    <row r="993" spans="2:23" ht="22.5">
      <c r="B993" s="2055"/>
      <c r="C993" s="2055"/>
      <c r="D993" s="2037"/>
      <c r="E993" s="2037"/>
      <c r="F993" s="2037"/>
      <c r="G993" s="2037"/>
      <c r="H993" s="2037"/>
      <c r="I993" s="1930" t="s">
        <v>1330</v>
      </c>
      <c r="J993" s="1930" t="s">
        <v>1290</v>
      </c>
      <c r="K993" s="1419" t="s">
        <v>263</v>
      </c>
      <c r="N993" s="2022"/>
      <c r="O993" s="2022"/>
      <c r="P993" s="2052"/>
      <c r="Q993" s="2052"/>
      <c r="R993" s="2052"/>
      <c r="S993" s="2052"/>
      <c r="T993" s="2052"/>
      <c r="U993" s="1930" t="s">
        <v>1330</v>
      </c>
      <c r="V993" s="1930" t="s">
        <v>1290</v>
      </c>
      <c r="W993" s="1419" t="s">
        <v>263</v>
      </c>
    </row>
    <row r="994" spans="2:23">
      <c r="B994" s="1397">
        <v>1</v>
      </c>
      <c r="C994" s="1397">
        <v>2</v>
      </c>
      <c r="D994" s="2054">
        <v>3</v>
      </c>
      <c r="E994" s="2054"/>
      <c r="F994" s="2054"/>
      <c r="G994" s="2054"/>
      <c r="H994" s="2054"/>
      <c r="I994" s="1428" t="s">
        <v>820</v>
      </c>
      <c r="J994" s="1428" t="s">
        <v>822</v>
      </c>
      <c r="K994" s="1428" t="s">
        <v>1550</v>
      </c>
      <c r="N994" s="1683">
        <v>1</v>
      </c>
      <c r="O994" s="1683">
        <v>2</v>
      </c>
      <c r="P994" s="2060">
        <v>3</v>
      </c>
      <c r="Q994" s="2060"/>
      <c r="R994" s="2060"/>
      <c r="S994" s="2060"/>
      <c r="T994" s="2060"/>
      <c r="U994" s="1428" t="s">
        <v>820</v>
      </c>
      <c r="V994" s="1428" t="s">
        <v>822</v>
      </c>
      <c r="W994" s="1428" t="s">
        <v>1550</v>
      </c>
    </row>
    <row r="995" spans="2:23" ht="27" customHeight="1">
      <c r="B995" s="2055" t="s">
        <v>234</v>
      </c>
      <c r="C995" s="2037" t="s">
        <v>2279</v>
      </c>
      <c r="D995" s="2056" t="s">
        <v>1597</v>
      </c>
      <c r="E995" s="2056"/>
      <c r="F995" s="2056"/>
      <c r="G995" s="2056"/>
      <c r="H995" s="2056"/>
      <c r="I995" s="2057">
        <f>IFERROR((I997*(I999/I998-1)),0)</f>
        <v>0</v>
      </c>
      <c r="J995" s="2057">
        <f>IFERROR((J997*(J999/J998-1)),0)</f>
        <v>0</v>
      </c>
      <c r="K995" s="2159">
        <f>IFERROR(J995-I995,"-")</f>
        <v>0</v>
      </c>
      <c r="N995" s="2023" t="s">
        <v>234</v>
      </c>
      <c r="O995" s="2052" t="s">
        <v>2000</v>
      </c>
      <c r="P995" s="2053" t="s">
        <v>2001</v>
      </c>
      <c r="Q995" s="2053"/>
      <c r="R995" s="2053"/>
      <c r="S995" s="2053"/>
      <c r="T995" s="2053"/>
      <c r="U995" s="2049">
        <f>IFERROR(U997*(U1006/U1005-1),0)</f>
        <v>0</v>
      </c>
      <c r="V995" s="2049">
        <f>IFERROR(V997*(V1006/V1005-1),0)</f>
        <v>0</v>
      </c>
      <c r="W995" s="2049">
        <f>IFERROR(V995-U995,"-")</f>
        <v>0</v>
      </c>
    </row>
    <row r="996" spans="2:23" ht="27" customHeight="1">
      <c r="B996" s="2055"/>
      <c r="C996" s="2037"/>
      <c r="D996" s="2037" t="s">
        <v>2278</v>
      </c>
      <c r="E996" s="2037"/>
      <c r="F996" s="2037"/>
      <c r="G996" s="2037"/>
      <c r="H996" s="2037"/>
      <c r="I996" s="2058"/>
      <c r="J996" s="2058"/>
      <c r="K996" s="2160"/>
      <c r="N996" s="2023"/>
      <c r="O996" s="2052"/>
      <c r="P996" s="2052" t="s">
        <v>2002</v>
      </c>
      <c r="Q996" s="2052"/>
      <c r="R996" s="2052"/>
      <c r="S996" s="2052"/>
      <c r="T996" s="2052"/>
      <c r="U996" s="2050"/>
      <c r="V996" s="2050"/>
      <c r="W996" s="2050"/>
    </row>
    <row r="997" spans="2:23" ht="27" customHeight="1">
      <c r="B997" s="1919" t="s">
        <v>237</v>
      </c>
      <c r="C997" s="1919" t="s">
        <v>2280</v>
      </c>
      <c r="D997" s="2076" t="s">
        <v>2285</v>
      </c>
      <c r="E997" s="2076"/>
      <c r="F997" s="2076"/>
      <c r="G997" s="2076"/>
      <c r="H997" s="2076"/>
      <c r="I997" s="1378"/>
      <c r="J997" s="1378"/>
      <c r="K997" s="1953">
        <f>IFERROR(J997-I997,"-")</f>
        <v>0</v>
      </c>
      <c r="N997" s="2023" t="s">
        <v>237</v>
      </c>
      <c r="O997" s="2023" t="s">
        <v>2003</v>
      </c>
      <c r="P997" s="2053" t="s">
        <v>2004</v>
      </c>
      <c r="Q997" s="2053"/>
      <c r="R997" s="2053"/>
      <c r="S997" s="2053"/>
      <c r="T997" s="2053"/>
      <c r="U997" s="2049">
        <f>U999+U1000+U1001-U1002-U1003-U1004</f>
        <v>0</v>
      </c>
      <c r="V997" s="2049">
        <f>V999+V1000+V1001-V1002-V1003-V1004</f>
        <v>0</v>
      </c>
      <c r="W997" s="2049">
        <f>IFERROR(V997-U997,"-")</f>
        <v>0</v>
      </c>
    </row>
    <row r="998" spans="2:23" ht="27" customHeight="1">
      <c r="B998" s="1919" t="s">
        <v>239</v>
      </c>
      <c r="C998" s="1919" t="s">
        <v>2281</v>
      </c>
      <c r="D998" s="2076" t="s">
        <v>2284</v>
      </c>
      <c r="E998" s="2076"/>
      <c r="F998" s="2076"/>
      <c r="G998" s="2076"/>
      <c r="H998" s="2076"/>
      <c r="I998" s="1953">
        <f>'35 Исполнение ИПР'!E6</f>
        <v>0</v>
      </c>
      <c r="J998" s="1953">
        <f>'35 Исполнение ИПР'!F6</f>
        <v>0</v>
      </c>
      <c r="K998" s="1953">
        <f>IFERROR(J998-I998,"-")</f>
        <v>0</v>
      </c>
      <c r="N998" s="2023"/>
      <c r="O998" s="2023"/>
      <c r="P998" s="2023" t="s">
        <v>2005</v>
      </c>
      <c r="Q998" s="2023"/>
      <c r="R998" s="2023"/>
      <c r="S998" s="2023"/>
      <c r="T998" s="2023"/>
      <c r="U998" s="2050"/>
      <c r="V998" s="2050"/>
      <c r="W998" s="2050"/>
    </row>
    <row r="999" spans="2:23" ht="27" customHeight="1">
      <c r="B999" s="1919" t="s">
        <v>242</v>
      </c>
      <c r="C999" s="1919" t="s">
        <v>2282</v>
      </c>
      <c r="D999" s="2076" t="s">
        <v>2283</v>
      </c>
      <c r="E999" s="2076"/>
      <c r="F999" s="2076"/>
      <c r="G999" s="2076"/>
      <c r="H999" s="2076"/>
      <c r="I999" s="1953">
        <f>'35 Исполнение ИПР'!G6</f>
        <v>0</v>
      </c>
      <c r="J999" s="1953">
        <f>'35 Исполнение ИПР'!I6</f>
        <v>0</v>
      </c>
      <c r="K999" s="1953">
        <f>IFERROR(J999-I999,"-")</f>
        <v>0</v>
      </c>
      <c r="N999" s="1891" t="s">
        <v>520</v>
      </c>
      <c r="O999" s="1891" t="s">
        <v>2006</v>
      </c>
      <c r="P999" s="2035" t="s">
        <v>2007</v>
      </c>
      <c r="Q999" s="2035"/>
      <c r="R999" s="2035"/>
      <c r="S999" s="2035"/>
      <c r="T999" s="2035"/>
      <c r="U999" s="1684"/>
      <c r="V999" s="1684"/>
      <c r="W999" s="1674">
        <f t="shared" ref="W999:W1006" si="26">IFERROR(V999-U999,"-")</f>
        <v>0</v>
      </c>
    </row>
    <row r="1000" spans="2:23" ht="25.5" customHeight="1">
      <c r="N1000" s="1891" t="s">
        <v>527</v>
      </c>
      <c r="O1000" s="1891" t="s">
        <v>2008</v>
      </c>
      <c r="P1000" s="2035" t="s">
        <v>2009</v>
      </c>
      <c r="Q1000" s="2035"/>
      <c r="R1000" s="2035"/>
      <c r="S1000" s="2035"/>
      <c r="T1000" s="2035"/>
      <c r="U1000" s="1684"/>
      <c r="V1000" s="1684"/>
      <c r="W1000" s="1674">
        <f t="shared" si="26"/>
        <v>0</v>
      </c>
    </row>
    <row r="1001" spans="2:23" ht="35.25" customHeight="1">
      <c r="B1001" s="2025" t="s">
        <v>1740</v>
      </c>
      <c r="C1001" s="2025"/>
      <c r="D1001" s="2025"/>
      <c r="E1001" s="2025"/>
      <c r="F1001" s="2025"/>
      <c r="G1001" s="2025"/>
      <c r="H1001" s="2025"/>
      <c r="I1001" s="2025"/>
      <c r="J1001" s="2025"/>
      <c r="K1001" s="2025"/>
      <c r="N1001" s="1891" t="s">
        <v>533</v>
      </c>
      <c r="O1001" s="1891" t="s">
        <v>2010</v>
      </c>
      <c r="P1001" s="2035" t="s">
        <v>2011</v>
      </c>
      <c r="Q1001" s="2035"/>
      <c r="R1001" s="2035"/>
      <c r="S1001" s="2035"/>
      <c r="T1001" s="2035"/>
      <c r="U1001" s="1684"/>
      <c r="V1001" s="1684"/>
      <c r="W1001" s="1674">
        <f t="shared" si="26"/>
        <v>0</v>
      </c>
    </row>
    <row r="1002" spans="2:23" ht="26.25" customHeight="1">
      <c r="B1002" s="2051"/>
      <c r="C1002" s="2051"/>
      <c r="D1002" s="2051"/>
      <c r="E1002" s="2051"/>
      <c r="F1002" s="2051"/>
      <c r="G1002" s="2051"/>
      <c r="H1002" s="2051"/>
      <c r="I1002" s="2051"/>
      <c r="J1002" s="2051"/>
      <c r="K1002" s="2051"/>
      <c r="N1002" s="1891" t="s">
        <v>581</v>
      </c>
      <c r="O1002" s="1891" t="s">
        <v>2012</v>
      </c>
      <c r="P1002" s="2035" t="s">
        <v>2013</v>
      </c>
      <c r="Q1002" s="2035"/>
      <c r="R1002" s="2035"/>
      <c r="S1002" s="2035"/>
      <c r="T1002" s="2035"/>
      <c r="U1002" s="1684"/>
      <c r="V1002" s="1684"/>
      <c r="W1002" s="1674">
        <f t="shared" si="26"/>
        <v>0</v>
      </c>
    </row>
    <row r="1003" spans="2:23" ht="36" customHeight="1">
      <c r="B1003" s="2025" t="str">
        <f>CONCATENATE("Корректировка предложения «Организации» на ",$F$4," год составила ",K995,"   тыс. руб. на основании:")</f>
        <v>Корректировка предложения «Организации» на 2024 год составила 0   тыс. руб. на основании:</v>
      </c>
      <c r="C1003" s="2025"/>
      <c r="D1003" s="2025"/>
      <c r="E1003" s="2025"/>
      <c r="F1003" s="2025"/>
      <c r="G1003" s="2025"/>
      <c r="H1003" s="2025"/>
      <c r="I1003" s="2025"/>
      <c r="J1003" s="2025"/>
      <c r="K1003" s="2025"/>
      <c r="N1003" s="1891" t="s">
        <v>583</v>
      </c>
      <c r="O1003" s="1891" t="s">
        <v>2014</v>
      </c>
      <c r="P1003" s="2035" t="s">
        <v>2229</v>
      </c>
      <c r="Q1003" s="2035"/>
      <c r="R1003" s="2035"/>
      <c r="S1003" s="2035"/>
      <c r="T1003" s="2035"/>
      <c r="U1003" s="1684"/>
      <c r="V1003" s="1684"/>
      <c r="W1003" s="1674">
        <f t="shared" si="26"/>
        <v>0</v>
      </c>
    </row>
    <row r="1004" spans="2:23" ht="73.5" customHeight="1">
      <c r="B1004" s="2026"/>
      <c r="C1004" s="2026"/>
      <c r="D1004" s="2026"/>
      <c r="E1004" s="2026"/>
      <c r="F1004" s="2026"/>
      <c r="G1004" s="2026"/>
      <c r="H1004" s="2026"/>
      <c r="I1004" s="2026"/>
      <c r="J1004" s="2026"/>
      <c r="K1004" s="2026"/>
      <c r="M1004" s="2044" t="s">
        <v>1412</v>
      </c>
      <c r="N1004" s="1891" t="s">
        <v>587</v>
      </c>
      <c r="O1004" s="1891" t="s">
        <v>2015</v>
      </c>
      <c r="P1004" s="2035" t="s">
        <v>2016</v>
      </c>
      <c r="Q1004" s="2035"/>
      <c r="R1004" s="2035"/>
      <c r="S1004" s="2035"/>
      <c r="T1004" s="2035"/>
      <c r="U1004" s="1684"/>
      <c r="V1004" s="1684"/>
      <c r="W1004" s="1674">
        <f t="shared" si="26"/>
        <v>0</v>
      </c>
    </row>
    <row r="1005" spans="2:23" ht="31.5" customHeight="1">
      <c r="B1005" s="2026"/>
      <c r="C1005" s="2026"/>
      <c r="D1005" s="2026"/>
      <c r="E1005" s="2026"/>
      <c r="F1005" s="2026"/>
      <c r="G1005" s="2026"/>
      <c r="H1005" s="2026"/>
      <c r="I1005" s="2026"/>
      <c r="J1005" s="2026"/>
      <c r="K1005" s="2026"/>
      <c r="M1005" s="2045"/>
      <c r="N1005" s="1891" t="s">
        <v>239</v>
      </c>
      <c r="O1005" s="1891" t="s">
        <v>2017</v>
      </c>
      <c r="P1005" s="2035" t="s">
        <v>2018</v>
      </c>
      <c r="Q1005" s="2035"/>
      <c r="R1005" s="2035"/>
      <c r="S1005" s="2035"/>
      <c r="T1005" s="2035"/>
      <c r="U1005" s="1674">
        <f>'35 Исполнение ИПР'!E6</f>
        <v>0</v>
      </c>
      <c r="V1005" s="1674">
        <f>'35 Исполнение ИПР'!F6</f>
        <v>0</v>
      </c>
      <c r="W1005" s="1674">
        <f t="shared" si="26"/>
        <v>0</v>
      </c>
    </row>
    <row r="1006" spans="2:23" ht="29.25" customHeight="1">
      <c r="B1006" s="2026"/>
      <c r="C1006" s="2026"/>
      <c r="D1006" s="2026"/>
      <c r="E1006" s="2026"/>
      <c r="F1006" s="2026"/>
      <c r="G1006" s="2026"/>
      <c r="H1006" s="2026"/>
      <c r="I1006" s="2026"/>
      <c r="J1006" s="2026"/>
      <c r="K1006" s="2026"/>
      <c r="M1006" s="2046"/>
      <c r="N1006" s="1891" t="s">
        <v>242</v>
      </c>
      <c r="O1006" s="1891" t="s">
        <v>2019</v>
      </c>
      <c r="P1006" s="2036" t="s">
        <v>2020</v>
      </c>
      <c r="Q1006" s="2036"/>
      <c r="R1006" s="2036"/>
      <c r="S1006" s="2036"/>
      <c r="T1006" s="2036"/>
      <c r="U1006" s="1674">
        <f>'35 Исполнение ИПР'!G6</f>
        <v>0</v>
      </c>
      <c r="V1006" s="1674">
        <f>'35 Исполнение ИПР'!I6</f>
        <v>0</v>
      </c>
      <c r="W1006" s="1674">
        <f t="shared" si="26"/>
        <v>0</v>
      </c>
    </row>
    <row r="1008" spans="2:23" ht="15.75">
      <c r="B1008" s="2015" t="s">
        <v>1741</v>
      </c>
      <c r="C1008" s="2015"/>
      <c r="D1008" s="2015"/>
      <c r="E1008" s="2015"/>
      <c r="F1008" s="2015"/>
      <c r="G1008" s="2015"/>
      <c r="H1008" s="2015"/>
      <c r="I1008" s="2015"/>
      <c r="J1008" s="2015"/>
      <c r="K1008" s="2015"/>
      <c r="M1008" s="1349"/>
    </row>
    <row r="1009" spans="2:13">
      <c r="M1009" s="1349"/>
    </row>
    <row r="1010" spans="2:13" ht="116.25" customHeight="1">
      <c r="B1010" s="2025" t="s">
        <v>1742</v>
      </c>
      <c r="C1010" s="2025"/>
      <c r="D1010" s="2025"/>
      <c r="E1010" s="2025"/>
      <c r="F1010" s="2025"/>
      <c r="G1010" s="2025"/>
      <c r="H1010" s="2025"/>
      <c r="I1010" s="2025"/>
      <c r="J1010" s="2025"/>
      <c r="K1010" s="2025"/>
      <c r="M1010" s="1349"/>
    </row>
    <row r="1011" spans="2:13">
      <c r="B1011" s="2025" t="str">
        <f>CONCATENATE("При прогнозировании величины распределения корректировок НВВ, производимого в целях сглаживания роста тарифов, на ",F4," год «Регулятор» руководствовался:")</f>
        <v>При прогнозировании величины распределения корректировок НВВ, производимого в целях сглаживания роста тарифов, на 2024 год «Регулятор» руководствовался:</v>
      </c>
      <c r="C1011" s="2025"/>
      <c r="D1011" s="2025"/>
      <c r="E1011" s="2025"/>
      <c r="F1011" s="2025"/>
      <c r="G1011" s="2025"/>
      <c r="H1011" s="2025"/>
      <c r="I1011" s="2025"/>
      <c r="J1011" s="2025"/>
      <c r="K1011" s="2025"/>
      <c r="M1011" s="1349"/>
    </row>
    <row r="1012" spans="2:13">
      <c r="B1012" s="2026"/>
      <c r="C1012" s="2026"/>
      <c r="D1012" s="2026"/>
      <c r="E1012" s="2026"/>
      <c r="F1012" s="2026"/>
      <c r="G1012" s="2026"/>
      <c r="H1012" s="2026"/>
      <c r="I1012" s="2026"/>
      <c r="J1012" s="2026"/>
      <c r="K1012" s="2026"/>
      <c r="M1012" s="1349"/>
    </row>
    <row r="1013" spans="2:13">
      <c r="B1013" s="2026"/>
      <c r="C1013" s="2026"/>
      <c r="D1013" s="2026"/>
      <c r="E1013" s="2026"/>
      <c r="F1013" s="2026"/>
      <c r="G1013" s="2026"/>
      <c r="H1013" s="2026"/>
      <c r="I1013" s="2026"/>
      <c r="J1013" s="2026"/>
      <c r="K1013" s="2026"/>
      <c r="M1013" s="1349"/>
    </row>
    <row r="1014" spans="2:13">
      <c r="B1014" s="2026"/>
      <c r="C1014" s="2026"/>
      <c r="D1014" s="2026"/>
      <c r="E1014" s="2026"/>
      <c r="F1014" s="2026"/>
      <c r="G1014" s="2026"/>
      <c r="H1014" s="2026"/>
      <c r="I1014" s="2026"/>
      <c r="J1014" s="2026"/>
      <c r="K1014" s="2026"/>
      <c r="M1014" s="1349"/>
    </row>
    <row r="1015" spans="2:13">
      <c r="M1015" s="1349"/>
    </row>
    <row r="1016" spans="2:13" ht="15.75">
      <c r="B1016" s="2003" t="s">
        <v>1743</v>
      </c>
      <c r="C1016" s="2003"/>
      <c r="D1016" s="2003"/>
      <c r="E1016" s="2003"/>
      <c r="F1016" s="2003"/>
      <c r="G1016" s="2003"/>
      <c r="H1016" s="2003"/>
      <c r="I1016" s="2003"/>
      <c r="J1016" s="2003"/>
      <c r="M1016" s="1349"/>
    </row>
    <row r="1017" spans="2:13">
      <c r="J1017" s="1910"/>
      <c r="K1017" s="1910" t="s">
        <v>1739</v>
      </c>
      <c r="M1017" s="1349"/>
    </row>
    <row r="1018" spans="2:13">
      <c r="B1018" s="2037" t="s">
        <v>12</v>
      </c>
      <c r="C1018" s="2037" t="s">
        <v>1242</v>
      </c>
      <c r="D1018" s="1436" t="s">
        <v>1745</v>
      </c>
      <c r="E1018" s="1436" t="s">
        <v>1746</v>
      </c>
      <c r="F1018" s="1436" t="s">
        <v>1747</v>
      </c>
      <c r="G1018" s="1436" t="s">
        <v>1748</v>
      </c>
      <c r="H1018" s="1436" t="s">
        <v>1749</v>
      </c>
      <c r="I1018" s="1436" t="s">
        <v>1750</v>
      </c>
      <c r="J1018" s="2038" t="s">
        <v>2286</v>
      </c>
      <c r="K1018" s="2039"/>
      <c r="M1018" s="1349"/>
    </row>
    <row r="1019" spans="2:13" ht="22.5">
      <c r="B1019" s="2037"/>
      <c r="C1019" s="2037"/>
      <c r="D1019" s="2040" t="s">
        <v>1751</v>
      </c>
      <c r="E1019" s="2041"/>
      <c r="F1019" s="2041"/>
      <c r="G1019" s="2041"/>
      <c r="H1019" s="2041"/>
      <c r="I1019" s="2042"/>
      <c r="J1019" s="1930" t="s">
        <v>1330</v>
      </c>
      <c r="K1019" s="1930" t="s">
        <v>1290</v>
      </c>
      <c r="M1019" s="1349"/>
    </row>
    <row r="1020" spans="2:13">
      <c r="B1020" s="1905">
        <v>1</v>
      </c>
      <c r="C1020" s="1905">
        <v>2</v>
      </c>
      <c r="D1020" s="1905">
        <v>3</v>
      </c>
      <c r="E1020" s="1905">
        <v>4</v>
      </c>
      <c r="F1020" s="1905">
        <v>5</v>
      </c>
      <c r="G1020" s="1905">
        <v>6</v>
      </c>
      <c r="H1020" s="1905">
        <v>7</v>
      </c>
      <c r="I1020" s="1905">
        <v>8</v>
      </c>
      <c r="J1020" s="1905">
        <v>9</v>
      </c>
      <c r="K1020" s="1905" t="s">
        <v>999</v>
      </c>
      <c r="M1020" s="1349"/>
    </row>
    <row r="1021" spans="2:13" ht="22.5">
      <c r="B1021" s="1897" t="s">
        <v>234</v>
      </c>
      <c r="C1021" s="1395" t="s">
        <v>1752</v>
      </c>
      <c r="D1021" s="1950">
        <f t="shared" ref="D1021:K1021" si="27">D1022+D1025</f>
        <v>0</v>
      </c>
      <c r="E1021" s="1950">
        <f t="shared" si="27"/>
        <v>0</v>
      </c>
      <c r="F1021" s="1950">
        <f t="shared" si="27"/>
        <v>0</v>
      </c>
      <c r="G1021" s="1950">
        <f t="shared" si="27"/>
        <v>0</v>
      </c>
      <c r="H1021" s="1950">
        <f t="shared" si="27"/>
        <v>0</v>
      </c>
      <c r="I1021" s="1950">
        <f t="shared" si="27"/>
        <v>0</v>
      </c>
      <c r="J1021" s="1950">
        <f t="shared" si="27"/>
        <v>0</v>
      </c>
      <c r="K1021" s="1950">
        <f t="shared" si="27"/>
        <v>0</v>
      </c>
      <c r="M1021" s="1349"/>
    </row>
    <row r="1022" spans="2:13" ht="33.75">
      <c r="B1022" s="1897" t="s">
        <v>267</v>
      </c>
      <c r="C1022" s="1437" t="s">
        <v>1753</v>
      </c>
      <c r="D1022" s="1382"/>
      <c r="E1022" s="1382"/>
      <c r="F1022" s="1382"/>
      <c r="G1022" s="1382"/>
      <c r="H1022" s="1382"/>
      <c r="I1022" s="1382"/>
      <c r="J1022" s="1382"/>
      <c r="K1022" s="1382"/>
      <c r="M1022" s="1349"/>
    </row>
    <row r="1023" spans="2:13" ht="67.5">
      <c r="B1023" s="1898" t="s">
        <v>1754</v>
      </c>
      <c r="C1023" s="1438" t="s">
        <v>1755</v>
      </c>
      <c r="D1023" s="1439"/>
      <c r="E1023" s="1439"/>
      <c r="F1023" s="1439"/>
      <c r="G1023" s="1439"/>
      <c r="H1023" s="1439"/>
      <c r="I1023" s="1439"/>
      <c r="J1023" s="1983">
        <f>I830</f>
        <v>0</v>
      </c>
      <c r="K1023" s="1983">
        <f>J830</f>
        <v>0</v>
      </c>
      <c r="M1023" s="1349"/>
    </row>
    <row r="1024" spans="2:13" ht="45">
      <c r="B1024" s="1440" t="s">
        <v>1756</v>
      </c>
      <c r="C1024" s="1438" t="s">
        <v>1757</v>
      </c>
      <c r="D1024" s="1983">
        <f t="shared" ref="D1024:K1024" si="28">D1023-D1022</f>
        <v>0</v>
      </c>
      <c r="E1024" s="1983">
        <f t="shared" si="28"/>
        <v>0</v>
      </c>
      <c r="F1024" s="1983">
        <f t="shared" si="28"/>
        <v>0</v>
      </c>
      <c r="G1024" s="1983">
        <f t="shared" si="28"/>
        <v>0</v>
      </c>
      <c r="H1024" s="1983">
        <f t="shared" si="28"/>
        <v>0</v>
      </c>
      <c r="I1024" s="1983">
        <f t="shared" si="28"/>
        <v>0</v>
      </c>
      <c r="J1024" s="1983">
        <f t="shared" si="28"/>
        <v>0</v>
      </c>
      <c r="K1024" s="1983">
        <f t="shared" si="28"/>
        <v>0</v>
      </c>
      <c r="M1024" s="1349"/>
    </row>
    <row r="1025" spans="2:13">
      <c r="B1025" s="1897" t="s">
        <v>269</v>
      </c>
      <c r="C1025" s="1437" t="s">
        <v>1758</v>
      </c>
      <c r="D1025" s="1950">
        <f t="shared" ref="D1025:K1025" si="29">SUM(D1026,D1028,D1030,D1032,D1034,D1036)</f>
        <v>0</v>
      </c>
      <c r="E1025" s="1950">
        <f t="shared" si="29"/>
        <v>0</v>
      </c>
      <c r="F1025" s="1950">
        <f t="shared" si="29"/>
        <v>0</v>
      </c>
      <c r="G1025" s="1950">
        <f t="shared" si="29"/>
        <v>0</v>
      </c>
      <c r="H1025" s="1950">
        <f t="shared" si="29"/>
        <v>0</v>
      </c>
      <c r="I1025" s="1950">
        <f t="shared" si="29"/>
        <v>0</v>
      </c>
      <c r="J1025" s="1950">
        <f t="shared" si="29"/>
        <v>0</v>
      </c>
      <c r="K1025" s="1950">
        <f t="shared" si="29"/>
        <v>0</v>
      </c>
      <c r="M1025" s="1349"/>
    </row>
    <row r="1026" spans="2:13">
      <c r="B1026" s="2047" t="s">
        <v>1759</v>
      </c>
      <c r="C1026" s="1441" t="s">
        <v>1760</v>
      </c>
      <c r="D1026" s="1442" t="s">
        <v>1404</v>
      </c>
      <c r="E1026" s="1382"/>
      <c r="F1026" s="1382"/>
      <c r="G1026" s="1382"/>
      <c r="H1026" s="1382"/>
      <c r="I1026" s="1443" t="s">
        <v>1404</v>
      </c>
      <c r="J1026" s="1442" t="s">
        <v>1404</v>
      </c>
      <c r="K1026" s="1442" t="s">
        <v>1404</v>
      </c>
      <c r="M1026" s="1349"/>
    </row>
    <row r="1027" spans="2:13">
      <c r="B1027" s="2047"/>
      <c r="C1027" s="1444" t="s">
        <v>1761</v>
      </c>
      <c r="D1027" s="1442" t="s">
        <v>1404</v>
      </c>
      <c r="E1027" s="1442" t="s">
        <v>1404</v>
      </c>
      <c r="F1027" s="1442" t="s">
        <v>1404</v>
      </c>
      <c r="G1027" s="1442" t="s">
        <v>1404</v>
      </c>
      <c r="H1027" s="1953">
        <f>SUM(E1026:H1026)-D1024</f>
        <v>0</v>
      </c>
      <c r="I1027" s="1442" t="s">
        <v>1404</v>
      </c>
      <c r="J1027" s="1442" t="s">
        <v>1404</v>
      </c>
      <c r="K1027" s="1442" t="s">
        <v>1404</v>
      </c>
      <c r="M1027" s="1349"/>
    </row>
    <row r="1028" spans="2:13">
      <c r="B1028" s="2047" t="s">
        <v>1762</v>
      </c>
      <c r="C1028" s="1441" t="s">
        <v>1763</v>
      </c>
      <c r="D1028" s="1442" t="s">
        <v>1404</v>
      </c>
      <c r="E1028" s="1442" t="s">
        <v>1404</v>
      </c>
      <c r="F1028" s="1442"/>
      <c r="G1028" s="1442"/>
      <c r="H1028" s="1442"/>
      <c r="I1028" s="1442"/>
      <c r="J1028" s="1442" t="s">
        <v>1404</v>
      </c>
      <c r="K1028" s="1442" t="s">
        <v>1404</v>
      </c>
      <c r="M1028" s="1349"/>
    </row>
    <row r="1029" spans="2:13">
      <c r="B1029" s="2047"/>
      <c r="C1029" s="1444" t="s">
        <v>1761</v>
      </c>
      <c r="D1029" s="1442" t="s">
        <v>1404</v>
      </c>
      <c r="E1029" s="1442" t="s">
        <v>1404</v>
      </c>
      <c r="F1029" s="1442" t="s">
        <v>1404</v>
      </c>
      <c r="G1029" s="1442" t="s">
        <v>1404</v>
      </c>
      <c r="H1029" s="1442" t="s">
        <v>1404</v>
      </c>
      <c r="I1029" s="1953">
        <f>SUM(F1028:I1028)-E1024</f>
        <v>0</v>
      </c>
      <c r="J1029" s="1442" t="s">
        <v>1404</v>
      </c>
      <c r="K1029" s="1442" t="s">
        <v>1404</v>
      </c>
      <c r="M1029" s="1349"/>
    </row>
    <row r="1030" spans="2:13">
      <c r="B1030" s="2047" t="s">
        <v>1764</v>
      </c>
      <c r="C1030" s="1441" t="s">
        <v>1765</v>
      </c>
      <c r="D1030" s="1442" t="s">
        <v>1404</v>
      </c>
      <c r="E1030" s="1442" t="s">
        <v>1404</v>
      </c>
      <c r="F1030" s="1442" t="s">
        <v>1404</v>
      </c>
      <c r="G1030" s="1382"/>
      <c r="H1030" s="1382"/>
      <c r="I1030" s="1382"/>
      <c r="J1030" s="1382"/>
      <c r="K1030" s="1382"/>
      <c r="M1030" s="1349"/>
    </row>
    <row r="1031" spans="2:13">
      <c r="B1031" s="2047"/>
      <c r="C1031" s="1444" t="s">
        <v>1761</v>
      </c>
      <c r="D1031" s="1442" t="s">
        <v>1404</v>
      </c>
      <c r="E1031" s="1442" t="s">
        <v>1404</v>
      </c>
      <c r="F1031" s="1442" t="s">
        <v>1404</v>
      </c>
      <c r="G1031" s="1442" t="s">
        <v>1404</v>
      </c>
      <c r="H1031" s="1442" t="s">
        <v>1404</v>
      </c>
      <c r="I1031" s="1442" t="s">
        <v>1404</v>
      </c>
      <c r="J1031" s="1953">
        <f>SUM(G1030:J1030)-F1024</f>
        <v>0</v>
      </c>
      <c r="K1031" s="1953">
        <f>SUM(G1030:I1030,K1030)-F1024</f>
        <v>0</v>
      </c>
      <c r="M1031" s="1349"/>
    </row>
    <row r="1032" spans="2:13">
      <c r="B1032" s="2047" t="s">
        <v>1766</v>
      </c>
      <c r="C1032" s="1441" t="s">
        <v>1767</v>
      </c>
      <c r="D1032" s="1442" t="s">
        <v>1404</v>
      </c>
      <c r="E1032" s="1442" t="s">
        <v>1404</v>
      </c>
      <c r="F1032" s="1442" t="s">
        <v>1404</v>
      </c>
      <c r="G1032" s="1442" t="s">
        <v>1404</v>
      </c>
      <c r="H1032" s="1382"/>
      <c r="I1032" s="1382"/>
      <c r="J1032" s="1382"/>
      <c r="K1032" s="1382"/>
      <c r="M1032" s="1349"/>
    </row>
    <row r="1033" spans="2:13">
      <c r="B1033" s="2047"/>
      <c r="C1033" s="1444" t="s">
        <v>1761</v>
      </c>
      <c r="D1033" s="1442" t="s">
        <v>1404</v>
      </c>
      <c r="E1033" s="1442" t="s">
        <v>1404</v>
      </c>
      <c r="F1033" s="1442" t="s">
        <v>1404</v>
      </c>
      <c r="G1033" s="1442" t="s">
        <v>1404</v>
      </c>
      <c r="H1033" s="1442" t="s">
        <v>1404</v>
      </c>
      <c r="I1033" s="1442" t="s">
        <v>1404</v>
      </c>
      <c r="J1033" s="1442" t="s">
        <v>1404</v>
      </c>
      <c r="K1033" s="1442" t="s">
        <v>1404</v>
      </c>
      <c r="M1033" s="1349"/>
    </row>
    <row r="1034" spans="2:13">
      <c r="B1034" s="2047" t="s">
        <v>1768</v>
      </c>
      <c r="C1034" s="1441" t="s">
        <v>1769</v>
      </c>
      <c r="D1034" s="1442" t="s">
        <v>1404</v>
      </c>
      <c r="E1034" s="1442" t="s">
        <v>1404</v>
      </c>
      <c r="F1034" s="1442" t="s">
        <v>1404</v>
      </c>
      <c r="G1034" s="1442" t="s">
        <v>1404</v>
      </c>
      <c r="H1034" s="1442" t="s">
        <v>1404</v>
      </c>
      <c r="I1034" s="1382"/>
      <c r="J1034" s="1382"/>
      <c r="K1034" s="1382"/>
      <c r="M1034" s="1349"/>
    </row>
    <row r="1035" spans="2:13">
      <c r="B1035" s="2047"/>
      <c r="C1035" s="1444" t="s">
        <v>1761</v>
      </c>
      <c r="D1035" s="1442" t="s">
        <v>1404</v>
      </c>
      <c r="E1035" s="1442" t="s">
        <v>1404</v>
      </c>
      <c r="F1035" s="1442" t="s">
        <v>1404</v>
      </c>
      <c r="G1035" s="1442" t="s">
        <v>1404</v>
      </c>
      <c r="H1035" s="1442" t="s">
        <v>1404</v>
      </c>
      <c r="I1035" s="1442" t="s">
        <v>1404</v>
      </c>
      <c r="J1035" s="1442" t="s">
        <v>1404</v>
      </c>
      <c r="K1035" s="1442" t="s">
        <v>1404</v>
      </c>
      <c r="M1035" s="1349"/>
    </row>
    <row r="1036" spans="2:13">
      <c r="B1036" s="2047" t="s">
        <v>1770</v>
      </c>
      <c r="C1036" s="1441" t="s">
        <v>1771</v>
      </c>
      <c r="D1036" s="1442" t="s">
        <v>1404</v>
      </c>
      <c r="E1036" s="1442" t="s">
        <v>1404</v>
      </c>
      <c r="F1036" s="1442" t="s">
        <v>1404</v>
      </c>
      <c r="G1036" s="1442" t="s">
        <v>1404</v>
      </c>
      <c r="H1036" s="1442" t="s">
        <v>1404</v>
      </c>
      <c r="I1036" s="1442" t="s">
        <v>1404</v>
      </c>
      <c r="J1036" s="1382"/>
      <c r="K1036" s="1382"/>
      <c r="M1036" s="1349"/>
    </row>
    <row r="1037" spans="2:13">
      <c r="B1037" s="2047"/>
      <c r="C1037" s="1444" t="s">
        <v>1761</v>
      </c>
      <c r="D1037" s="1442" t="s">
        <v>1404</v>
      </c>
      <c r="E1037" s="1442" t="s">
        <v>1404</v>
      </c>
      <c r="F1037" s="1442" t="s">
        <v>1404</v>
      </c>
      <c r="G1037" s="1442" t="s">
        <v>1404</v>
      </c>
      <c r="H1037" s="1442" t="s">
        <v>1404</v>
      </c>
      <c r="I1037" s="1442" t="s">
        <v>1404</v>
      </c>
      <c r="J1037" s="1442" t="s">
        <v>1404</v>
      </c>
      <c r="K1037" s="1442" t="s">
        <v>1404</v>
      </c>
      <c r="M1037" s="1349"/>
    </row>
    <row r="1038" spans="2:13">
      <c r="B1038" s="2167" t="s">
        <v>1772</v>
      </c>
      <c r="C1038" s="2167"/>
      <c r="D1038" s="1445"/>
      <c r="E1038" s="1445"/>
      <c r="F1038" s="1445"/>
      <c r="G1038" s="1445"/>
      <c r="H1038" s="1445"/>
      <c r="I1038" s="1445"/>
      <c r="J1038" s="1445"/>
      <c r="K1038" s="1445"/>
      <c r="M1038" s="1349"/>
    </row>
    <row r="1039" spans="2:13">
      <c r="M1039" s="1349"/>
    </row>
    <row r="1040" spans="2:13">
      <c r="B1040" s="2025" t="str">
        <f>CONCATENATE("Корректировка предложения «Организации» на ",$F$4," год составила ",K1021-J1021,"   тыс. руб. на основании:")</f>
        <v>Корректировка предложения «Организации» на 2024 год составила 0   тыс. руб. на основании:</v>
      </c>
      <c r="C1040" s="2025"/>
      <c r="D1040" s="2025"/>
      <c r="E1040" s="2025"/>
      <c r="F1040" s="2025"/>
      <c r="G1040" s="2025"/>
      <c r="H1040" s="2025"/>
      <c r="I1040" s="2025"/>
      <c r="J1040" s="2025"/>
      <c r="K1040" s="2025"/>
      <c r="M1040" s="1349"/>
    </row>
    <row r="1041" spans="2:13">
      <c r="B1041" s="2026"/>
      <c r="C1041" s="2026"/>
      <c r="D1041" s="2026"/>
      <c r="E1041" s="2026"/>
      <c r="F1041" s="2026"/>
      <c r="G1041" s="2026"/>
      <c r="H1041" s="2026"/>
      <c r="I1041" s="2026"/>
      <c r="J1041" s="2026"/>
      <c r="K1041" s="2026"/>
      <c r="M1041" s="2044" t="s">
        <v>1412</v>
      </c>
    </row>
    <row r="1042" spans="2:13">
      <c r="B1042" s="2026"/>
      <c r="C1042" s="2026"/>
      <c r="D1042" s="2026"/>
      <c r="E1042" s="2026"/>
      <c r="F1042" s="2026"/>
      <c r="G1042" s="2026"/>
      <c r="H1042" s="2026"/>
      <c r="I1042" s="2026"/>
      <c r="J1042" s="2026"/>
      <c r="K1042" s="2026"/>
      <c r="M1042" s="2045"/>
    </row>
    <row r="1043" spans="2:13">
      <c r="B1043" s="2026"/>
      <c r="C1043" s="2026"/>
      <c r="D1043" s="2026"/>
      <c r="E1043" s="2026"/>
      <c r="F1043" s="2026"/>
      <c r="G1043" s="2026"/>
      <c r="H1043" s="2026"/>
      <c r="I1043" s="2026"/>
      <c r="J1043" s="2026"/>
      <c r="K1043" s="2026"/>
      <c r="M1043" s="2046"/>
    </row>
    <row r="1044" spans="2:13" ht="38.25" customHeight="1">
      <c r="B1044" s="2025" t="s">
        <v>1773</v>
      </c>
      <c r="C1044" s="2025"/>
      <c r="D1044" s="2025"/>
      <c r="E1044" s="2025"/>
      <c r="F1044" s="2025"/>
      <c r="G1044" s="2025"/>
      <c r="H1044" s="2025"/>
      <c r="I1044" s="2025"/>
      <c r="J1044" s="2025"/>
      <c r="K1044" s="2025"/>
      <c r="M1044" s="1349"/>
    </row>
    <row r="1045" spans="2:13">
      <c r="M1045" s="1349"/>
    </row>
    <row r="1046" spans="2:13" ht="15.75">
      <c r="B1046" s="2015" t="s">
        <v>1774</v>
      </c>
      <c r="C1046" s="2015"/>
      <c r="D1046" s="2015"/>
      <c r="E1046" s="2015"/>
      <c r="F1046" s="2015"/>
      <c r="G1046" s="2015"/>
      <c r="H1046" s="2015"/>
      <c r="I1046" s="2015"/>
      <c r="J1046" s="2015"/>
      <c r="K1046" s="2015"/>
      <c r="M1046" s="1349"/>
    </row>
    <row r="1047" spans="2:13">
      <c r="M1047" s="1349"/>
    </row>
    <row r="1048" spans="2:13" ht="15.75">
      <c r="B1048" s="2003" t="s">
        <v>1775</v>
      </c>
      <c r="C1048" s="2003"/>
      <c r="D1048" s="2003"/>
      <c r="E1048" s="2003"/>
      <c r="F1048" s="2003"/>
      <c r="G1048" s="2003"/>
      <c r="H1048" s="2003"/>
      <c r="I1048" s="2003"/>
      <c r="J1048" s="2003"/>
      <c r="K1048" s="2003"/>
      <c r="M1048" s="1349"/>
    </row>
    <row r="1049" spans="2:13">
      <c r="K1049" s="1910" t="s">
        <v>1744</v>
      </c>
      <c r="M1049" s="1349"/>
    </row>
    <row r="1050" spans="2:13">
      <c r="B1050" s="2123" t="s">
        <v>12</v>
      </c>
      <c r="C1050" s="2168" t="s">
        <v>954</v>
      </c>
      <c r="D1050" s="2168" t="s">
        <v>262</v>
      </c>
      <c r="E1050" s="2048" t="str">
        <f>CONCATENATE($F$4-2," год")</f>
        <v>2022 год</v>
      </c>
      <c r="F1050" s="2048"/>
      <c r="G1050" s="2048"/>
      <c r="H1050" s="1900" t="str">
        <f>CONCATENATE($F$4-1," год")</f>
        <v>2023 год</v>
      </c>
      <c r="I1050" s="2062" t="str">
        <f>CONCATENATE($F$4," год")</f>
        <v>2024 год</v>
      </c>
      <c r="J1050" s="2063"/>
      <c r="K1050" s="2064"/>
      <c r="M1050" s="1349"/>
    </row>
    <row r="1051" spans="2:13" ht="22.5">
      <c r="B1051" s="2123"/>
      <c r="C1051" s="2168"/>
      <c r="D1051" s="2168"/>
      <c r="E1051" s="1918" t="s">
        <v>1381</v>
      </c>
      <c r="F1051" s="1918" t="s">
        <v>1287</v>
      </c>
      <c r="G1051" s="1408" t="s">
        <v>263</v>
      </c>
      <c r="H1051" s="1918" t="s">
        <v>1288</v>
      </c>
      <c r="I1051" s="1918" t="s">
        <v>1330</v>
      </c>
      <c r="J1051" s="1918" t="s">
        <v>1290</v>
      </c>
      <c r="K1051" s="1408" t="s">
        <v>263</v>
      </c>
      <c r="M1051" s="1349"/>
    </row>
    <row r="1052" spans="2:13">
      <c r="B1052" s="1397">
        <v>1</v>
      </c>
      <c r="C1052" s="1397">
        <v>2</v>
      </c>
      <c r="D1052" s="1397">
        <v>3</v>
      </c>
      <c r="E1052" s="1929">
        <v>3</v>
      </c>
      <c r="F1052" s="1929">
        <v>4</v>
      </c>
      <c r="G1052" s="1367" t="s">
        <v>1443</v>
      </c>
      <c r="H1052" s="1929" t="s">
        <v>824</v>
      </c>
      <c r="I1052" s="1929" t="s">
        <v>832</v>
      </c>
      <c r="J1052" s="1929" t="s">
        <v>833</v>
      </c>
      <c r="K1052" s="1929" t="s">
        <v>1291</v>
      </c>
      <c r="M1052" s="1349"/>
    </row>
    <row r="1053" spans="2:13" ht="22.5">
      <c r="B1053" s="1918" t="s">
        <v>234</v>
      </c>
      <c r="C1053" s="1407" t="s">
        <v>1777</v>
      </c>
      <c r="D1053" s="1918" t="s">
        <v>600</v>
      </c>
      <c r="E1053" s="1442" t="s">
        <v>1778</v>
      </c>
      <c r="F1053" s="1442" t="s">
        <v>1778</v>
      </c>
      <c r="G1053" s="1953" t="str">
        <f t="shared" ref="G1053:G1060" si="30">IFERROR(F1053-E1053,"-")</f>
        <v>-</v>
      </c>
      <c r="H1053" s="1382"/>
      <c r="I1053" s="1950">
        <f>IFERROR(MAX(0,E1055*I1054-E1056)*E1059,0)</f>
        <v>0</v>
      </c>
      <c r="J1053" s="1950">
        <f>IFERROR(MAX(0,F1055*J1054-F1056)*F1059,0)</f>
        <v>0</v>
      </c>
      <c r="K1053" s="1953">
        <f t="shared" ref="K1053:K1060" si="31">IFERROR(J1053-I1053,"-")</f>
        <v>0</v>
      </c>
      <c r="M1053" s="1349"/>
    </row>
    <row r="1054" spans="2:13" ht="33.75">
      <c r="B1054" s="1919" t="s">
        <v>237</v>
      </c>
      <c r="C1054" s="1922" t="s">
        <v>1779</v>
      </c>
      <c r="D1054" s="1919" t="s">
        <v>268</v>
      </c>
      <c r="E1054" s="1446" t="s">
        <v>1778</v>
      </c>
      <c r="F1054" s="1446" t="s">
        <v>1778</v>
      </c>
      <c r="G1054" s="1953" t="str">
        <f t="shared" si="30"/>
        <v>-</v>
      </c>
      <c r="H1054" s="1961" t="str">
        <f>G208</f>
        <v>х</v>
      </c>
      <c r="I1054" s="1961" t="str">
        <f>H208</f>
        <v>х</v>
      </c>
      <c r="J1054" s="1961" t="str">
        <f>I208</f>
        <v>х</v>
      </c>
      <c r="K1054" s="1961" t="str">
        <f t="shared" si="31"/>
        <v>-</v>
      </c>
      <c r="M1054" s="1349"/>
    </row>
    <row r="1055" spans="2:13">
      <c r="B1055" s="1919" t="s">
        <v>239</v>
      </c>
      <c r="C1055" s="1922" t="s">
        <v>1389</v>
      </c>
      <c r="D1055" s="1919" t="s">
        <v>249</v>
      </c>
      <c r="E1055" s="1953">
        <f>I949</f>
        <v>0</v>
      </c>
      <c r="F1055" s="1953">
        <f>J949</f>
        <v>0</v>
      </c>
      <c r="G1055" s="1953">
        <f t="shared" si="30"/>
        <v>0</v>
      </c>
      <c r="H1055" s="1378"/>
      <c r="I1055" s="1378"/>
      <c r="J1055" s="1378"/>
      <c r="K1055" s="1953">
        <f t="shared" si="31"/>
        <v>0</v>
      </c>
      <c r="M1055" s="1349"/>
    </row>
    <row r="1056" spans="2:13">
      <c r="B1056" s="2055" t="s">
        <v>242</v>
      </c>
      <c r="C1056" s="2132" t="s">
        <v>1780</v>
      </c>
      <c r="D1056" s="1919" t="s">
        <v>249</v>
      </c>
      <c r="E1056" s="1953">
        <f>I948</f>
        <v>0</v>
      </c>
      <c r="F1056" s="1953">
        <f>J948</f>
        <v>0</v>
      </c>
      <c r="G1056" s="1953">
        <f t="shared" si="30"/>
        <v>0</v>
      </c>
      <c r="H1056" s="1953">
        <f>G207</f>
        <v>0</v>
      </c>
      <c r="I1056" s="1953">
        <f>H207</f>
        <v>0</v>
      </c>
      <c r="J1056" s="1953">
        <f>I207</f>
        <v>0</v>
      </c>
      <c r="K1056" s="1953">
        <f t="shared" si="31"/>
        <v>0</v>
      </c>
      <c r="M1056" s="1349"/>
    </row>
    <row r="1057" spans="2:13">
      <c r="B1057" s="2055"/>
      <c r="C1057" s="2132"/>
      <c r="D1057" s="1919" t="s">
        <v>268</v>
      </c>
      <c r="E1057" s="1961" t="e">
        <f>E1056/E1055</f>
        <v>#DIV/0!</v>
      </c>
      <c r="F1057" s="1961" t="e">
        <f>F1056/F1055</f>
        <v>#DIV/0!</v>
      </c>
      <c r="G1057" s="1961" t="str">
        <f t="shared" si="30"/>
        <v>-</v>
      </c>
      <c r="H1057" s="1961" t="e">
        <f>H1056/H1055</f>
        <v>#DIV/0!</v>
      </c>
      <c r="I1057" s="1961" t="e">
        <f>I1056/I1055</f>
        <v>#DIV/0!</v>
      </c>
      <c r="J1057" s="1961" t="e">
        <f>J1056/J1055</f>
        <v>#DIV/0!</v>
      </c>
      <c r="K1057" s="1961" t="str">
        <f t="shared" si="31"/>
        <v>-</v>
      </c>
      <c r="M1057" s="1349"/>
    </row>
    <row r="1058" spans="2:13" ht="22.5">
      <c r="B1058" s="1919" t="s">
        <v>899</v>
      </c>
      <c r="C1058" s="1922" t="s">
        <v>1781</v>
      </c>
      <c r="D1058" s="1919" t="s">
        <v>249</v>
      </c>
      <c r="E1058" s="1953">
        <f>E1055-E1056</f>
        <v>0</v>
      </c>
      <c r="F1058" s="1953">
        <f>F1055-F1056</f>
        <v>0</v>
      </c>
      <c r="G1058" s="1953">
        <f t="shared" si="30"/>
        <v>0</v>
      </c>
      <c r="H1058" s="1953">
        <f>H1055-H1056</f>
        <v>0</v>
      </c>
      <c r="I1058" s="1953">
        <f>I1055-I1056</f>
        <v>0</v>
      </c>
      <c r="J1058" s="1953">
        <f>J1055-J1056</f>
        <v>0</v>
      </c>
      <c r="K1058" s="1953">
        <f t="shared" si="31"/>
        <v>0</v>
      </c>
      <c r="M1058" s="1349"/>
    </row>
    <row r="1059" spans="2:13">
      <c r="B1059" s="1919" t="s">
        <v>860</v>
      </c>
      <c r="C1059" s="1922" t="s">
        <v>1782</v>
      </c>
      <c r="D1059" s="1919" t="s">
        <v>285</v>
      </c>
      <c r="E1059" s="1953">
        <f>I950</f>
        <v>0</v>
      </c>
      <c r="F1059" s="1953">
        <f>J950</f>
        <v>0</v>
      </c>
      <c r="G1059" s="1953">
        <f t="shared" si="30"/>
        <v>0</v>
      </c>
      <c r="H1059" s="1953">
        <f>G209</f>
        <v>0</v>
      </c>
      <c r="I1059" s="1953">
        <f>H209</f>
        <v>0</v>
      </c>
      <c r="J1059" s="1953">
        <f>I209</f>
        <v>0</v>
      </c>
      <c r="K1059" s="1953">
        <f t="shared" si="31"/>
        <v>0</v>
      </c>
      <c r="M1059" s="1349"/>
    </row>
    <row r="1060" spans="2:13" ht="22.5">
      <c r="B1060" s="1918" t="s">
        <v>862</v>
      </c>
      <c r="C1060" s="1407" t="s">
        <v>1783</v>
      </c>
      <c r="D1060" s="1918" t="s">
        <v>600</v>
      </c>
      <c r="E1060" s="1950">
        <f>E1059*E1056</f>
        <v>0</v>
      </c>
      <c r="F1060" s="1950">
        <f>F1059*F1056</f>
        <v>0</v>
      </c>
      <c r="G1060" s="1953">
        <f t="shared" si="30"/>
        <v>0</v>
      </c>
      <c r="H1060" s="1950">
        <f>H1059*H1056</f>
        <v>0</v>
      </c>
      <c r="I1060" s="1950">
        <f>I1059*I1056</f>
        <v>0</v>
      </c>
      <c r="J1060" s="1950">
        <f>J1059*J1056</f>
        <v>0</v>
      </c>
      <c r="K1060" s="1953">
        <f t="shared" si="31"/>
        <v>0</v>
      </c>
      <c r="M1060" s="1349"/>
    </row>
    <row r="1061" spans="2:13">
      <c r="M1061" s="1349"/>
    </row>
    <row r="1062" spans="2:13" ht="56.25" customHeight="1">
      <c r="B1062" s="2025" t="s">
        <v>1784</v>
      </c>
      <c r="C1062" s="2025"/>
      <c r="D1062" s="2025"/>
      <c r="E1062" s="2025"/>
      <c r="F1062" s="2025"/>
      <c r="G1062" s="2025"/>
      <c r="H1062" s="2025"/>
      <c r="I1062" s="2025"/>
      <c r="J1062" s="2025"/>
      <c r="K1062" s="2025"/>
      <c r="M1062" s="1349"/>
    </row>
    <row r="1063" spans="2:13">
      <c r="B1063" s="2025" t="str">
        <f>CONCATENATE("Корректировка предложения «Организации» на ",$F$4," год составила ",K1053,"   тыс. руб. на основании:")</f>
        <v>Корректировка предложения «Организации» на 2024 год составила 0   тыс. руб. на основании:</v>
      </c>
      <c r="C1063" s="2025"/>
      <c r="D1063" s="2025"/>
      <c r="E1063" s="2025"/>
      <c r="F1063" s="2025"/>
      <c r="G1063" s="2025"/>
      <c r="H1063" s="2025"/>
      <c r="I1063" s="2025"/>
      <c r="J1063" s="2025"/>
      <c r="K1063" s="2025"/>
      <c r="M1063" s="1349"/>
    </row>
    <row r="1064" spans="2:13">
      <c r="B1064" s="2026"/>
      <c r="C1064" s="2026"/>
      <c r="D1064" s="2026"/>
      <c r="E1064" s="2026"/>
      <c r="F1064" s="2026"/>
      <c r="G1064" s="2026"/>
      <c r="H1064" s="2026"/>
      <c r="I1064" s="2026"/>
      <c r="J1064" s="2026"/>
      <c r="K1064" s="2026"/>
      <c r="M1064" s="2044" t="s">
        <v>1412</v>
      </c>
    </row>
    <row r="1065" spans="2:13">
      <c r="B1065" s="2026"/>
      <c r="C1065" s="2026"/>
      <c r="D1065" s="2026"/>
      <c r="E1065" s="2026"/>
      <c r="F1065" s="2026"/>
      <c r="G1065" s="2026"/>
      <c r="H1065" s="2026"/>
      <c r="I1065" s="2026"/>
      <c r="J1065" s="2026"/>
      <c r="K1065" s="2026"/>
      <c r="M1065" s="2045"/>
    </row>
    <row r="1066" spans="2:13">
      <c r="B1066" s="2026"/>
      <c r="C1066" s="2026"/>
      <c r="D1066" s="2026"/>
      <c r="E1066" s="2026"/>
      <c r="F1066" s="2026"/>
      <c r="G1066" s="2026"/>
      <c r="H1066" s="2026"/>
      <c r="I1066" s="2026"/>
      <c r="J1066" s="2026"/>
      <c r="K1066" s="2026"/>
      <c r="M1066" s="2046"/>
    </row>
    <row r="1067" spans="2:13">
      <c r="M1067" s="1349"/>
    </row>
    <row r="1068" spans="2:13" ht="15.75">
      <c r="B1068" s="2015" t="s">
        <v>1785</v>
      </c>
      <c r="C1068" s="2015"/>
      <c r="D1068" s="2015"/>
      <c r="E1068" s="2015"/>
      <c r="F1068" s="2015"/>
      <c r="G1068" s="2015"/>
      <c r="H1068" s="2015"/>
      <c r="I1068" s="2015"/>
      <c r="J1068" s="2015"/>
      <c r="K1068" s="2015"/>
      <c r="M1068" s="1349"/>
    </row>
    <row r="1069" spans="2:13">
      <c r="M1069" s="1349"/>
    </row>
    <row r="1070" spans="2:13" ht="15.75">
      <c r="B1070" s="2003" t="s">
        <v>1373</v>
      </c>
      <c r="C1070" s="2003"/>
      <c r="D1070" s="2003"/>
      <c r="E1070" s="2003"/>
      <c r="F1070" s="2003"/>
      <c r="G1070" s="2003"/>
      <c r="H1070" s="2003"/>
      <c r="I1070" s="2003"/>
      <c r="J1070" s="2003"/>
      <c r="K1070" s="2003"/>
      <c r="M1070" s="1349"/>
    </row>
    <row r="1071" spans="2:13">
      <c r="K1071" s="1910" t="s">
        <v>1776</v>
      </c>
      <c r="M1071" s="1349"/>
    </row>
    <row r="1072" spans="2:13" ht="26.25" customHeight="1">
      <c r="B1072" s="2055" t="s">
        <v>12</v>
      </c>
      <c r="C1072" s="2037" t="s">
        <v>1442</v>
      </c>
      <c r="D1072" s="2048" t="str">
        <f>CONCATENATE($F$4-2," год")</f>
        <v>2022 год</v>
      </c>
      <c r="E1072" s="2048"/>
      <c r="F1072" s="2048"/>
      <c r="G1072" s="1900" t="str">
        <f>CONCATENATE($F$4-1," год")</f>
        <v>2023 год</v>
      </c>
      <c r="H1072" s="2062" t="str">
        <f>CONCATENATE($F$4," год")</f>
        <v>2024 год</v>
      </c>
      <c r="I1072" s="2063"/>
      <c r="J1072" s="2064"/>
      <c r="K1072" s="2149" t="s">
        <v>1382</v>
      </c>
      <c r="M1072" s="1349"/>
    </row>
    <row r="1073" spans="2:13" ht="26.25" customHeight="1">
      <c r="B1073" s="2055"/>
      <c r="C1073" s="2037"/>
      <c r="D1073" s="1918" t="s">
        <v>1381</v>
      </c>
      <c r="E1073" s="1918" t="s">
        <v>1287</v>
      </c>
      <c r="F1073" s="1408" t="s">
        <v>263</v>
      </c>
      <c r="G1073" s="1918" t="s">
        <v>1288</v>
      </c>
      <c r="H1073" s="1918" t="s">
        <v>1330</v>
      </c>
      <c r="I1073" s="1918" t="s">
        <v>1290</v>
      </c>
      <c r="J1073" s="1408" t="s">
        <v>263</v>
      </c>
      <c r="K1073" s="2150"/>
      <c r="M1073" s="1349"/>
    </row>
    <row r="1074" spans="2:13" ht="26.25" customHeight="1">
      <c r="B1074" s="1929">
        <v>1</v>
      </c>
      <c r="C1074" s="1428">
        <v>2</v>
      </c>
      <c r="D1074" s="1367">
        <v>3</v>
      </c>
      <c r="E1074" s="1367">
        <v>4</v>
      </c>
      <c r="F1074" s="1367" t="s">
        <v>1443</v>
      </c>
      <c r="G1074" s="1367" t="s">
        <v>824</v>
      </c>
      <c r="H1074" s="1367" t="s">
        <v>832</v>
      </c>
      <c r="I1074" s="1367" t="s">
        <v>833</v>
      </c>
      <c r="J1074" s="1367" t="s">
        <v>1291</v>
      </c>
      <c r="K1074" s="2151"/>
      <c r="M1074" s="1349"/>
    </row>
    <row r="1075" spans="2:13" ht="22.5">
      <c r="B1075" s="1919" t="s">
        <v>234</v>
      </c>
      <c r="C1075" s="1447" t="s">
        <v>1731</v>
      </c>
      <c r="D1075" s="1953">
        <f t="shared" ref="D1075:E1080" si="32">I969</f>
        <v>0</v>
      </c>
      <c r="E1075" s="1953">
        <f t="shared" si="32"/>
        <v>0</v>
      </c>
      <c r="F1075" s="1953">
        <f t="shared" ref="F1075:F1080" si="33">IFERROR(E1075-D1075,"-")</f>
        <v>0</v>
      </c>
      <c r="G1075" s="1378"/>
      <c r="H1075" s="1378"/>
      <c r="I1075" s="1378"/>
      <c r="J1075" s="1953">
        <f t="shared" ref="J1075:J1080" si="34">IFERROR(I1075-H1075,"-")</f>
        <v>0</v>
      </c>
      <c r="K1075" s="1448"/>
      <c r="M1075" s="1349"/>
    </row>
    <row r="1076" spans="2:13" ht="22.5">
      <c r="B1076" s="1919" t="s">
        <v>237</v>
      </c>
      <c r="C1076" s="1447" t="s">
        <v>1732</v>
      </c>
      <c r="D1076" s="1953">
        <f t="shared" si="32"/>
        <v>0</v>
      </c>
      <c r="E1076" s="1953">
        <f t="shared" si="32"/>
        <v>0</v>
      </c>
      <c r="F1076" s="1953">
        <f t="shared" si="33"/>
        <v>0</v>
      </c>
      <c r="G1076" s="1378"/>
      <c r="H1076" s="1378"/>
      <c r="I1076" s="1378"/>
      <c r="J1076" s="1953">
        <f t="shared" si="34"/>
        <v>0</v>
      </c>
      <c r="K1076" s="1448"/>
      <c r="M1076" s="1349"/>
    </row>
    <row r="1077" spans="2:13" ht="22.5">
      <c r="B1077" s="1919" t="s">
        <v>239</v>
      </c>
      <c r="C1077" s="1447" t="s">
        <v>1733</v>
      </c>
      <c r="D1077" s="1953">
        <f t="shared" si="32"/>
        <v>0</v>
      </c>
      <c r="E1077" s="1953">
        <f t="shared" si="32"/>
        <v>0</v>
      </c>
      <c r="F1077" s="1953">
        <f t="shared" si="33"/>
        <v>0</v>
      </c>
      <c r="G1077" s="1378"/>
      <c r="H1077" s="1378"/>
      <c r="I1077" s="1378"/>
      <c r="J1077" s="1953">
        <f t="shared" si="34"/>
        <v>0</v>
      </c>
      <c r="K1077" s="1387"/>
      <c r="M1077" s="1349"/>
    </row>
    <row r="1078" spans="2:13">
      <c r="B1078" s="1919" t="s">
        <v>242</v>
      </c>
      <c r="C1078" s="1449" t="s">
        <v>1734</v>
      </c>
      <c r="D1078" s="1953">
        <f t="shared" si="32"/>
        <v>0</v>
      </c>
      <c r="E1078" s="1953">
        <f t="shared" si="32"/>
        <v>0</v>
      </c>
      <c r="F1078" s="1953">
        <f t="shared" si="33"/>
        <v>0</v>
      </c>
      <c r="G1078" s="1378"/>
      <c r="H1078" s="1378"/>
      <c r="I1078" s="1378"/>
      <c r="J1078" s="1953">
        <f t="shared" si="34"/>
        <v>0</v>
      </c>
      <c r="K1078" s="1387"/>
      <c r="M1078" s="1349"/>
    </row>
    <row r="1079" spans="2:13">
      <c r="B1079" s="1919" t="s">
        <v>899</v>
      </c>
      <c r="C1079" s="1449" t="s">
        <v>1734</v>
      </c>
      <c r="D1079" s="1953">
        <f t="shared" si="32"/>
        <v>0</v>
      </c>
      <c r="E1079" s="1953">
        <f t="shared" si="32"/>
        <v>0</v>
      </c>
      <c r="F1079" s="1953">
        <f t="shared" si="33"/>
        <v>0</v>
      </c>
      <c r="G1079" s="1378"/>
      <c r="H1079" s="1378"/>
      <c r="I1079" s="1378"/>
      <c r="J1079" s="1953">
        <f t="shared" si="34"/>
        <v>0</v>
      </c>
      <c r="K1079" s="1387"/>
      <c r="M1079" s="1349"/>
    </row>
    <row r="1080" spans="2:13">
      <c r="B1080" s="1919" t="s">
        <v>860</v>
      </c>
      <c r="C1080" s="1449" t="s">
        <v>1734</v>
      </c>
      <c r="D1080" s="1953">
        <f t="shared" si="32"/>
        <v>0</v>
      </c>
      <c r="E1080" s="1953">
        <f t="shared" si="32"/>
        <v>0</v>
      </c>
      <c r="F1080" s="1953">
        <f t="shared" si="33"/>
        <v>0</v>
      </c>
      <c r="G1080" s="1378"/>
      <c r="H1080" s="1378"/>
      <c r="I1080" s="1378"/>
      <c r="J1080" s="1953">
        <f t="shared" si="34"/>
        <v>0</v>
      </c>
      <c r="K1080" s="1387"/>
      <c r="M1080" s="1349"/>
    </row>
    <row r="1081" spans="2:13" ht="22.5">
      <c r="B1081" s="1918" t="s">
        <v>862</v>
      </c>
      <c r="C1081" s="1407" t="s">
        <v>1787</v>
      </c>
      <c r="D1081" s="1950">
        <f t="shared" ref="D1081:J1081" si="35">SUM(D1075:D1080)</f>
        <v>0</v>
      </c>
      <c r="E1081" s="1950">
        <f t="shared" si="35"/>
        <v>0</v>
      </c>
      <c r="F1081" s="1950">
        <f t="shared" si="35"/>
        <v>0</v>
      </c>
      <c r="G1081" s="1950">
        <f t="shared" si="35"/>
        <v>0</v>
      </c>
      <c r="H1081" s="1950">
        <f t="shared" si="35"/>
        <v>0</v>
      </c>
      <c r="I1081" s="1950">
        <f t="shared" si="35"/>
        <v>0</v>
      </c>
      <c r="J1081" s="1950">
        <f t="shared" si="35"/>
        <v>0</v>
      </c>
      <c r="K1081" s="1388"/>
      <c r="M1081" s="1349"/>
    </row>
    <row r="1082" spans="2:13">
      <c r="M1082" s="1349"/>
    </row>
    <row r="1083" spans="2:13" ht="56.25" customHeight="1">
      <c r="B1083" s="2025" t="s">
        <v>1788</v>
      </c>
      <c r="C1083" s="2025"/>
      <c r="D1083" s="2025"/>
      <c r="E1083" s="2025"/>
      <c r="F1083" s="2025"/>
      <c r="G1083" s="2025"/>
      <c r="H1083" s="2025"/>
      <c r="I1083" s="2025"/>
      <c r="J1083" s="2025"/>
      <c r="K1083" s="2025"/>
      <c r="M1083" s="1349" t="s">
        <v>1212</v>
      </c>
    </row>
    <row r="1084" spans="2:13">
      <c r="B1084" s="2025" t="str">
        <f>CONCATENATE("При прогнозировании расходов по обеспечению коммерческого учета э/э на ",$F$4," год «Регулятор» руководствовался:")</f>
        <v>При прогнозировании расходов по обеспечению коммерческого учета э/э на 2024 год «Регулятор» руководствовался:</v>
      </c>
      <c r="C1084" s="2025"/>
      <c r="D1084" s="2025"/>
      <c r="E1084" s="2025"/>
      <c r="F1084" s="2025"/>
      <c r="G1084" s="2025"/>
      <c r="H1084" s="2025"/>
      <c r="I1084" s="2025"/>
      <c r="J1084" s="2025"/>
      <c r="K1084" s="2025"/>
      <c r="M1084" s="1349"/>
    </row>
    <row r="1085" spans="2:13">
      <c r="B1085" s="2026"/>
      <c r="C1085" s="2026"/>
      <c r="D1085" s="2026"/>
      <c r="E1085" s="2026"/>
      <c r="F1085" s="2026"/>
      <c r="G1085" s="2026"/>
      <c r="H1085" s="2026"/>
      <c r="I1085" s="2026"/>
      <c r="J1085" s="2026"/>
      <c r="K1085" s="2026"/>
      <c r="M1085" s="2044" t="s">
        <v>1789</v>
      </c>
    </row>
    <row r="1086" spans="2:13">
      <c r="B1086" s="2026"/>
      <c r="C1086" s="2026"/>
      <c r="D1086" s="2026"/>
      <c r="E1086" s="2026"/>
      <c r="F1086" s="2026"/>
      <c r="G1086" s="2026"/>
      <c r="H1086" s="2026"/>
      <c r="I1086" s="2026"/>
      <c r="J1086" s="2026"/>
      <c r="K1086" s="2026"/>
      <c r="M1086" s="2045"/>
    </row>
    <row r="1087" spans="2:13">
      <c r="B1087" s="2026"/>
      <c r="C1087" s="2026"/>
      <c r="D1087" s="2026"/>
      <c r="E1087" s="2026"/>
      <c r="F1087" s="2026"/>
      <c r="G1087" s="2026"/>
      <c r="H1087" s="2026"/>
      <c r="I1087" s="2026"/>
      <c r="J1087" s="2026"/>
      <c r="K1087" s="2026"/>
      <c r="M1087" s="2046"/>
    </row>
    <row r="1088" spans="2:13">
      <c r="B1088" s="2025" t="str">
        <f>CONCATENATE("Корректировка предложения «Организации» на ",$F$4," год составила ",J1081,"   тыс. руб. на основании:")</f>
        <v>Корректировка предложения «Организации» на 2024 год составила 0   тыс. руб. на основании:</v>
      </c>
      <c r="C1088" s="2025"/>
      <c r="D1088" s="2025"/>
      <c r="E1088" s="2025"/>
      <c r="F1088" s="2025"/>
      <c r="G1088" s="2025"/>
      <c r="H1088" s="2025"/>
      <c r="I1088" s="2025"/>
      <c r="J1088" s="2025"/>
      <c r="K1088" s="2025"/>
      <c r="M1088" s="1349"/>
    </row>
    <row r="1089" spans="2:13">
      <c r="B1089" s="2026"/>
      <c r="C1089" s="2026"/>
      <c r="D1089" s="2026"/>
      <c r="E1089" s="2026"/>
      <c r="F1089" s="2026"/>
      <c r="G1089" s="2026"/>
      <c r="H1089" s="2026"/>
      <c r="I1089" s="2026"/>
      <c r="J1089" s="2026"/>
      <c r="K1089" s="2026"/>
      <c r="M1089" s="2044" t="s">
        <v>1412</v>
      </c>
    </row>
    <row r="1090" spans="2:13">
      <c r="B1090" s="2026"/>
      <c r="C1090" s="2026"/>
      <c r="D1090" s="2026"/>
      <c r="E1090" s="2026"/>
      <c r="F1090" s="2026"/>
      <c r="G1090" s="2026"/>
      <c r="H1090" s="2026"/>
      <c r="I1090" s="2026"/>
      <c r="J1090" s="2026"/>
      <c r="K1090" s="2026"/>
      <c r="M1090" s="2045"/>
    </row>
    <row r="1091" spans="2:13">
      <c r="B1091" s="2026"/>
      <c r="C1091" s="2026"/>
      <c r="D1091" s="2026"/>
      <c r="E1091" s="2026"/>
      <c r="F1091" s="2026"/>
      <c r="G1091" s="2026"/>
      <c r="H1091" s="2026"/>
      <c r="I1091" s="2026"/>
      <c r="J1091" s="2026"/>
      <c r="K1091" s="2026"/>
      <c r="M1091" s="2046"/>
    </row>
    <row r="1092" spans="2:13">
      <c r="M1092" s="1349"/>
    </row>
    <row r="1093" spans="2:13" ht="15.75">
      <c r="B1093" s="2015" t="s">
        <v>1790</v>
      </c>
      <c r="C1093" s="2015"/>
      <c r="D1093" s="2015"/>
      <c r="E1093" s="2015"/>
      <c r="F1093" s="2015"/>
      <c r="G1093" s="2015"/>
      <c r="H1093" s="2015"/>
      <c r="I1093" s="2015"/>
      <c r="J1093" s="2015"/>
      <c r="K1093" s="2015"/>
      <c r="M1093" s="1349"/>
    </row>
    <row r="1094" spans="2:13">
      <c r="M1094" s="1349"/>
    </row>
    <row r="1095" spans="2:13" ht="15.75">
      <c r="B1095" s="2003" t="s">
        <v>1375</v>
      </c>
      <c r="C1095" s="2003"/>
      <c r="D1095" s="2003"/>
      <c r="E1095" s="2003"/>
      <c r="F1095" s="2003"/>
      <c r="G1095" s="2003"/>
      <c r="H1095" s="2003"/>
      <c r="I1095" s="2003"/>
      <c r="J1095" s="2003"/>
      <c r="K1095" s="2003"/>
      <c r="M1095" s="1349"/>
    </row>
    <row r="1096" spans="2:13">
      <c r="J1096" s="1910"/>
      <c r="K1096" s="1910" t="s">
        <v>1786</v>
      </c>
      <c r="M1096" s="1349"/>
    </row>
    <row r="1097" spans="2:13" ht="24.75" customHeight="1">
      <c r="B1097" s="2055" t="s">
        <v>12</v>
      </c>
      <c r="C1097" s="2037" t="s">
        <v>1442</v>
      </c>
      <c r="D1097" s="2168" t="s">
        <v>262</v>
      </c>
      <c r="E1097" s="1900" t="str">
        <f>CONCATENATE($F$4-3," год")</f>
        <v>2021 год</v>
      </c>
      <c r="F1097" s="2062" t="str">
        <f>CONCATENATE($F$4-2," год")</f>
        <v>2022 год</v>
      </c>
      <c r="G1097" s="2064"/>
      <c r="H1097" s="1900" t="str">
        <f>CONCATENATE($F$4-1," год")</f>
        <v>2023 год</v>
      </c>
      <c r="I1097" s="2062" t="str">
        <f>CONCATENATE($F$4," год")</f>
        <v>2024 год</v>
      </c>
      <c r="J1097" s="2063"/>
      <c r="K1097" s="2064"/>
      <c r="M1097" s="1349"/>
    </row>
    <row r="1098" spans="2:13" ht="24.75" customHeight="1">
      <c r="B1098" s="2055"/>
      <c r="C1098" s="2037"/>
      <c r="D1098" s="2168"/>
      <c r="E1098" s="1918" t="s">
        <v>1287</v>
      </c>
      <c r="F1098" s="1918" t="s">
        <v>1381</v>
      </c>
      <c r="G1098" s="1918" t="s">
        <v>1287</v>
      </c>
      <c r="H1098" s="1918" t="s">
        <v>1288</v>
      </c>
      <c r="I1098" s="1918" t="s">
        <v>1330</v>
      </c>
      <c r="J1098" s="1918" t="s">
        <v>1290</v>
      </c>
      <c r="K1098" s="1408" t="s">
        <v>263</v>
      </c>
      <c r="M1098" s="1349"/>
    </row>
    <row r="1099" spans="2:13" ht="24.75" customHeight="1">
      <c r="B1099" s="1929">
        <v>1</v>
      </c>
      <c r="C1099" s="1428">
        <v>2</v>
      </c>
      <c r="D1099" s="1397">
        <v>3</v>
      </c>
      <c r="E1099" s="1367" t="s">
        <v>820</v>
      </c>
      <c r="F1099" s="1367" t="s">
        <v>822</v>
      </c>
      <c r="G1099" s="1367" t="s">
        <v>824</v>
      </c>
      <c r="H1099" s="1367" t="s">
        <v>832</v>
      </c>
      <c r="I1099" s="1367" t="s">
        <v>833</v>
      </c>
      <c r="J1099" s="1367" t="s">
        <v>407</v>
      </c>
      <c r="K1099" s="1367" t="s">
        <v>1929</v>
      </c>
      <c r="M1099" s="1349"/>
    </row>
    <row r="1100" spans="2:13" ht="25.5">
      <c r="B1100" s="1450" t="s">
        <v>234</v>
      </c>
      <c r="C1100" s="1451" t="s">
        <v>1792</v>
      </c>
      <c r="D1100" s="1450" t="s">
        <v>600</v>
      </c>
      <c r="E1100" s="1416"/>
      <c r="F1100" s="1416"/>
      <c r="G1100" s="1416"/>
      <c r="H1100" s="1416"/>
      <c r="I1100" s="1416"/>
      <c r="J1100" s="1416"/>
      <c r="K1100" s="1953">
        <f>IFERROR(J1100-I1100,"-")</f>
        <v>0</v>
      </c>
      <c r="M1100" s="1349"/>
    </row>
    <row r="1101" spans="2:13" ht="38.25">
      <c r="B1101" s="1452" t="s">
        <v>267</v>
      </c>
      <c r="C1101" s="1453" t="s">
        <v>1793</v>
      </c>
      <c r="D1101" s="1452" t="s">
        <v>600</v>
      </c>
      <c r="E1101" s="1416"/>
      <c r="F1101" s="1416"/>
      <c r="G1101" s="1416"/>
      <c r="H1101" s="1416"/>
      <c r="I1101" s="1416"/>
      <c r="J1101" s="1416"/>
      <c r="K1101" s="1953">
        <f>IFERROR(J1101-I1101,"-")</f>
        <v>0</v>
      </c>
      <c r="M1101" s="1349"/>
    </row>
    <row r="1102" spans="2:13">
      <c r="B1102" s="1454" t="s">
        <v>608</v>
      </c>
      <c r="C1102" s="1455" t="s">
        <v>1794</v>
      </c>
      <c r="D1102" s="1454" t="s">
        <v>268</v>
      </c>
      <c r="E1102" s="1982" t="str">
        <f t="shared" ref="E1102:J1102" si="36">IFERROR(E1101/E1100,"х")</f>
        <v>х</v>
      </c>
      <c r="F1102" s="1982" t="str">
        <f t="shared" si="36"/>
        <v>х</v>
      </c>
      <c r="G1102" s="1982" t="str">
        <f t="shared" si="36"/>
        <v>х</v>
      </c>
      <c r="H1102" s="1982" t="str">
        <f t="shared" si="36"/>
        <v>х</v>
      </c>
      <c r="I1102" s="1982" t="str">
        <f t="shared" si="36"/>
        <v>х</v>
      </c>
      <c r="J1102" s="1982" t="str">
        <f t="shared" si="36"/>
        <v>х</v>
      </c>
      <c r="K1102" s="1953" t="str">
        <f>IFERROR(J1102-I1102,"-")</f>
        <v>-</v>
      </c>
      <c r="M1102" s="1349"/>
    </row>
    <row r="1103" spans="2:13" ht="25.5">
      <c r="B1103" s="1456" t="s">
        <v>237</v>
      </c>
      <c r="C1103" s="1457" t="s">
        <v>1795</v>
      </c>
      <c r="D1103" s="1456" t="s">
        <v>268</v>
      </c>
      <c r="E1103" s="1458">
        <v>1.4999999999999999E-2</v>
      </c>
      <c r="F1103" s="1458">
        <v>1.4999999999999999E-2</v>
      </c>
      <c r="G1103" s="1458">
        <v>1.4999999999999999E-2</v>
      </c>
      <c r="H1103" s="1458">
        <v>1.4999999999999999E-2</v>
      </c>
      <c r="I1103" s="1458">
        <v>1.4999999999999999E-2</v>
      </c>
      <c r="J1103" s="1458">
        <v>1.4999999999999999E-2</v>
      </c>
      <c r="K1103" s="1961">
        <f>IFERROR(J1103-I1103,"-")</f>
        <v>0</v>
      </c>
      <c r="M1103" s="1349"/>
    </row>
    <row r="1104" spans="2:13" ht="25.5">
      <c r="B1104" s="1450" t="s">
        <v>239</v>
      </c>
      <c r="C1104" s="1451" t="s">
        <v>1375</v>
      </c>
      <c r="D1104" s="1450" t="s">
        <v>600</v>
      </c>
      <c r="E1104" s="1979">
        <f t="shared" ref="E1104:J1104" si="37">IFERROR(E1101*E1103,0)</f>
        <v>0</v>
      </c>
      <c r="F1104" s="1979">
        <f t="shared" si="37"/>
        <v>0</v>
      </c>
      <c r="G1104" s="1979">
        <f t="shared" si="37"/>
        <v>0</v>
      </c>
      <c r="H1104" s="1979">
        <f t="shared" si="37"/>
        <v>0</v>
      </c>
      <c r="I1104" s="1979">
        <f t="shared" si="37"/>
        <v>0</v>
      </c>
      <c r="J1104" s="1979">
        <f t="shared" si="37"/>
        <v>0</v>
      </c>
      <c r="K1104" s="1953">
        <f>IFERROR(J1104-I1104,"-")</f>
        <v>0</v>
      </c>
      <c r="M1104" s="1349"/>
    </row>
    <row r="1105" spans="2:13">
      <c r="M1105" s="1349"/>
    </row>
    <row r="1106" spans="2:13" ht="68.25" customHeight="1">
      <c r="B1106" s="2025" t="s">
        <v>1796</v>
      </c>
      <c r="C1106" s="2025"/>
      <c r="D1106" s="2025"/>
      <c r="E1106" s="2025"/>
      <c r="F1106" s="2025"/>
      <c r="G1106" s="2025"/>
      <c r="H1106" s="2025"/>
      <c r="I1106" s="2025"/>
      <c r="J1106" s="2025"/>
      <c r="K1106" s="2025"/>
      <c r="M1106" s="1349"/>
    </row>
    <row r="1107" spans="2:13">
      <c r="B1107" s="2025" t="str">
        <f>CONCATENATE("При прогнозировании расходов на формирование резерва по сомнительным долгам на ",$F$4," год «Регулятор» руководствовался:")</f>
        <v>При прогнозировании расходов на формирование резерва по сомнительным долгам на 2024 год «Регулятор» руководствовался:</v>
      </c>
      <c r="C1107" s="2025"/>
      <c r="D1107" s="2025"/>
      <c r="E1107" s="2025"/>
      <c r="F1107" s="2025"/>
      <c r="G1107" s="2025"/>
      <c r="H1107" s="2025"/>
      <c r="I1107" s="2025"/>
      <c r="J1107" s="2025"/>
      <c r="K1107" s="2025"/>
      <c r="M1107" s="1349"/>
    </row>
    <row r="1108" spans="2:13">
      <c r="B1108" s="2026"/>
      <c r="C1108" s="2026"/>
      <c r="D1108" s="2026"/>
      <c r="E1108" s="2026"/>
      <c r="F1108" s="2026"/>
      <c r="G1108" s="2026"/>
      <c r="H1108" s="2026"/>
      <c r="I1108" s="2026"/>
      <c r="J1108" s="2026"/>
      <c r="K1108" s="2026"/>
      <c r="M1108" s="2044" t="s">
        <v>1797</v>
      </c>
    </row>
    <row r="1109" spans="2:13">
      <c r="B1109" s="2026"/>
      <c r="C1109" s="2026"/>
      <c r="D1109" s="2026"/>
      <c r="E1109" s="2026"/>
      <c r="F1109" s="2026"/>
      <c r="G1109" s="2026"/>
      <c r="H1109" s="2026"/>
      <c r="I1109" s="2026"/>
      <c r="J1109" s="2026"/>
      <c r="K1109" s="2026"/>
      <c r="M1109" s="2045"/>
    </row>
    <row r="1110" spans="2:13">
      <c r="B1110" s="2026"/>
      <c r="C1110" s="2026"/>
      <c r="D1110" s="2026"/>
      <c r="E1110" s="2026"/>
      <c r="F1110" s="2026"/>
      <c r="G1110" s="2026"/>
      <c r="H1110" s="2026"/>
      <c r="I1110" s="2026"/>
      <c r="J1110" s="2026"/>
      <c r="K1110" s="2026"/>
      <c r="M1110" s="2046"/>
    </row>
    <row r="1111" spans="2:13">
      <c r="B1111" s="2025" t="str">
        <f>CONCATENATE("Корректировка предложения «Организации» на ",$F$4," год составила ",K1104,"   тыс. руб. на основании:")</f>
        <v>Корректировка предложения «Организации» на 2024 год составила 0   тыс. руб. на основании:</v>
      </c>
      <c r="C1111" s="2025"/>
      <c r="D1111" s="2025"/>
      <c r="E1111" s="2025"/>
      <c r="F1111" s="2025"/>
      <c r="G1111" s="2025"/>
      <c r="H1111" s="2025"/>
      <c r="I1111" s="2025"/>
      <c r="J1111" s="2025"/>
      <c r="K1111" s="2025"/>
      <c r="M1111" s="1349"/>
    </row>
    <row r="1112" spans="2:13">
      <c r="B1112" s="2026"/>
      <c r="C1112" s="2026"/>
      <c r="D1112" s="2026"/>
      <c r="E1112" s="2026"/>
      <c r="F1112" s="2026"/>
      <c r="G1112" s="2026"/>
      <c r="H1112" s="2026"/>
      <c r="I1112" s="2026"/>
      <c r="J1112" s="2026"/>
      <c r="K1112" s="2026"/>
      <c r="M1112" s="2044" t="s">
        <v>1412</v>
      </c>
    </row>
    <row r="1113" spans="2:13">
      <c r="B1113" s="2026"/>
      <c r="C1113" s="2026"/>
      <c r="D1113" s="2026"/>
      <c r="E1113" s="2026"/>
      <c r="F1113" s="2026"/>
      <c r="G1113" s="2026"/>
      <c r="H1113" s="2026"/>
      <c r="I1113" s="2026"/>
      <c r="J1113" s="2026"/>
      <c r="K1113" s="2026"/>
      <c r="M1113" s="2045"/>
    </row>
    <row r="1114" spans="2:13">
      <c r="B1114" s="2026"/>
      <c r="C1114" s="2026"/>
      <c r="D1114" s="2026"/>
      <c r="E1114" s="2026"/>
      <c r="F1114" s="2026"/>
      <c r="G1114" s="2026"/>
      <c r="H1114" s="2026"/>
      <c r="I1114" s="2026"/>
      <c r="J1114" s="2026"/>
      <c r="K1114" s="2026"/>
      <c r="M1114" s="2046"/>
    </row>
    <row r="1115" spans="2:13">
      <c r="M1115" s="1349"/>
    </row>
    <row r="1116" spans="2:13" ht="15.75">
      <c r="B1116" s="2015" t="s">
        <v>1798</v>
      </c>
      <c r="C1116" s="2015"/>
      <c r="D1116" s="2015"/>
      <c r="E1116" s="2015"/>
      <c r="F1116" s="2015"/>
      <c r="G1116" s="2015"/>
      <c r="H1116" s="2015"/>
      <c r="I1116" s="2015"/>
      <c r="J1116" s="2015"/>
      <c r="K1116" s="2015"/>
      <c r="M1116" s="1349"/>
    </row>
    <row r="1117" spans="2:13">
      <c r="M1117" s="1349"/>
    </row>
    <row r="1118" spans="2:13" ht="56.25" customHeight="1">
      <c r="B1118" s="2025" t="s">
        <v>1799</v>
      </c>
      <c r="C1118" s="2025"/>
      <c r="D1118" s="2025"/>
      <c r="E1118" s="2025"/>
      <c r="F1118" s="2025"/>
      <c r="G1118" s="2025"/>
      <c r="H1118" s="2025"/>
      <c r="I1118" s="2025"/>
      <c r="J1118" s="2025"/>
      <c r="K1118" s="2025"/>
      <c r="M1118" s="1349" t="s">
        <v>1212</v>
      </c>
    </row>
    <row r="1119" spans="2:13">
      <c r="B1119" s="2025" t="s">
        <v>1800</v>
      </c>
      <c r="C1119" s="2025"/>
      <c r="D1119" s="2025"/>
      <c r="E1119" s="2025"/>
      <c r="F1119" s="2025"/>
      <c r="G1119" s="2025"/>
      <c r="H1119" s="2025"/>
      <c r="I1119" s="2025"/>
      <c r="J1119" s="2025"/>
      <c r="K1119" s="2025"/>
      <c r="M1119" s="1349"/>
    </row>
    <row r="1120" spans="2:13" ht="36.75" customHeight="1">
      <c r="B1120" s="2025" t="s">
        <v>1801</v>
      </c>
      <c r="C1120" s="2025"/>
      <c r="D1120" s="2025"/>
      <c r="E1120" s="2025"/>
      <c r="F1120" s="2025"/>
      <c r="G1120" s="2025"/>
      <c r="H1120" s="2025"/>
      <c r="I1120" s="2025"/>
      <c r="J1120" s="2025"/>
      <c r="K1120" s="2025"/>
      <c r="M1120" s="1349"/>
    </row>
    <row r="1121" spans="2:13" ht="36.75" customHeight="1">
      <c r="B1121" s="2169" t="s">
        <v>1802</v>
      </c>
      <c r="C1121" s="2169"/>
      <c r="D1121" s="2169"/>
      <c r="E1121" s="2169"/>
      <c r="F1121" s="2169"/>
      <c r="G1121" s="2169"/>
      <c r="H1121" s="2169"/>
      <c r="I1121" s="2169"/>
      <c r="J1121" s="2169"/>
      <c r="K1121" s="2169"/>
      <c r="M1121" s="1349"/>
    </row>
    <row r="1122" spans="2:13">
      <c r="B1122" s="2169" t="s">
        <v>1803</v>
      </c>
      <c r="C1122" s="2169"/>
      <c r="D1122" s="2169"/>
      <c r="E1122" s="2169"/>
      <c r="F1122" s="2169"/>
      <c r="G1122" s="2169"/>
      <c r="H1122" s="2169"/>
      <c r="I1122" s="2169"/>
      <c r="J1122" s="2169"/>
      <c r="K1122" s="2169"/>
      <c r="M1122" s="1349"/>
    </row>
    <row r="1123" spans="2:13">
      <c r="B1123" s="1893"/>
      <c r="C1123" s="1893"/>
      <c r="D1123" s="1893"/>
      <c r="E1123" s="1893"/>
      <c r="F1123" s="1893"/>
      <c r="G1123" s="1893"/>
      <c r="H1123" s="1893"/>
      <c r="I1123" s="1893"/>
      <c r="J1123" s="1893"/>
      <c r="K1123" s="1893"/>
      <c r="M1123" s="1349"/>
    </row>
    <row r="1124" spans="2:13" ht="15.75">
      <c r="B1124" s="2016" t="s">
        <v>1804</v>
      </c>
      <c r="C1124" s="2016"/>
      <c r="D1124" s="2016"/>
      <c r="E1124" s="2016"/>
      <c r="F1124" s="2016"/>
      <c r="G1124" s="2016"/>
      <c r="H1124" s="1893"/>
      <c r="I1124" s="1893"/>
      <c r="J1124" s="1893"/>
      <c r="K1124" s="1893"/>
      <c r="M1124" s="1349"/>
    </row>
    <row r="1125" spans="2:13">
      <c r="B1125" s="1893"/>
      <c r="C1125" s="1893"/>
      <c r="D1125" s="1893"/>
      <c r="E1125" s="1893"/>
      <c r="F1125" s="1893"/>
      <c r="G1125" s="1910" t="s">
        <v>1791</v>
      </c>
      <c r="H1125" s="1893"/>
      <c r="I1125" s="1893"/>
      <c r="J1125" s="1893"/>
      <c r="K1125" s="1893"/>
      <c r="M1125" s="1349"/>
    </row>
    <row r="1126" spans="2:13">
      <c r="B1126" s="2055" t="s">
        <v>12</v>
      </c>
      <c r="C1126" s="2037" t="s">
        <v>1442</v>
      </c>
      <c r="D1126" s="2168" t="s">
        <v>262</v>
      </c>
      <c r="E1126" s="1900" t="str">
        <f>CONCATENATE($F$4-3," год")</f>
        <v>2021 год</v>
      </c>
      <c r="F1126" s="1900" t="str">
        <f>CONCATENATE($F$4-2," год")</f>
        <v>2022 год</v>
      </c>
      <c r="G1126" s="1900" t="str">
        <f>CONCATENATE($F$4-1," год")</f>
        <v>2023 год</v>
      </c>
      <c r="H1126" s="1893"/>
      <c r="I1126" s="1893"/>
      <c r="J1126" s="1893"/>
      <c r="K1126" s="1893"/>
      <c r="M1126" s="1349"/>
    </row>
    <row r="1127" spans="2:13">
      <c r="B1127" s="2055"/>
      <c r="C1127" s="2037"/>
      <c r="D1127" s="2168"/>
      <c r="E1127" s="2040" t="s">
        <v>1288</v>
      </c>
      <c r="F1127" s="2041"/>
      <c r="G1127" s="2042"/>
      <c r="H1127" s="1893"/>
      <c r="I1127" s="1893"/>
      <c r="J1127" s="1893"/>
      <c r="K1127" s="1893"/>
      <c r="M1127" s="1349"/>
    </row>
    <row r="1128" spans="2:13">
      <c r="B1128" s="1929">
        <v>1</v>
      </c>
      <c r="C1128" s="1428">
        <v>2</v>
      </c>
      <c r="D1128" s="1397">
        <v>3</v>
      </c>
      <c r="E1128" s="1428">
        <v>4</v>
      </c>
      <c r="F1128" s="1397">
        <v>5</v>
      </c>
      <c r="G1128" s="1428">
        <v>6</v>
      </c>
      <c r="H1128" s="1893"/>
      <c r="I1128" s="1893"/>
      <c r="J1128" s="1893"/>
      <c r="K1128" s="1893"/>
      <c r="M1128" s="1349"/>
    </row>
    <row r="1129" spans="2:13" ht="38.25">
      <c r="B1129" s="1452" t="s">
        <v>234</v>
      </c>
      <c r="C1129" s="1459" t="s">
        <v>1806</v>
      </c>
      <c r="D1129" s="1452" t="s">
        <v>600</v>
      </c>
      <c r="E1129" s="1416"/>
      <c r="F1129" s="1416"/>
      <c r="G1129" s="1416"/>
      <c r="H1129" s="1893"/>
      <c r="I1129" s="1893"/>
      <c r="J1129" s="1893"/>
      <c r="K1129" s="1893"/>
      <c r="M1129" s="1349"/>
    </row>
    <row r="1130" spans="2:13" ht="51">
      <c r="B1130" s="1452" t="s">
        <v>237</v>
      </c>
      <c r="C1130" s="1459" t="s">
        <v>1807</v>
      </c>
      <c r="D1130" s="1452" t="s">
        <v>600</v>
      </c>
      <c r="E1130" s="1416"/>
      <c r="F1130" s="1416"/>
      <c r="G1130" s="1416"/>
      <c r="H1130" s="1893"/>
      <c r="I1130" s="1893"/>
      <c r="J1130" s="1893"/>
      <c r="K1130" s="1893"/>
      <c r="M1130" s="1349"/>
    </row>
    <row r="1131" spans="2:13" ht="25.5">
      <c r="B1131" s="1452" t="s">
        <v>239</v>
      </c>
      <c r="C1131" s="1459" t="s">
        <v>1377</v>
      </c>
      <c r="D1131" s="1454" t="s">
        <v>268</v>
      </c>
      <c r="E1131" s="1981">
        <f>IFERROR(E1129/E1130,0)</f>
        <v>0</v>
      </c>
      <c r="F1131" s="1981">
        <f>IFERROR(F1129/F1130,0)</f>
        <v>0</v>
      </c>
      <c r="G1131" s="1981">
        <f>IFERROR(G1129/G1130,0)</f>
        <v>0</v>
      </c>
      <c r="H1131" s="1893"/>
      <c r="I1131" s="1893"/>
      <c r="J1131" s="1893"/>
      <c r="K1131" s="1893"/>
      <c r="M1131" s="1349"/>
    </row>
    <row r="1132" spans="2:13">
      <c r="B1132" s="1893"/>
      <c r="C1132" s="1893"/>
      <c r="D1132" s="1893"/>
      <c r="E1132" s="1893"/>
      <c r="F1132" s="1893"/>
      <c r="G1132" s="1893"/>
      <c r="H1132" s="1893"/>
      <c r="I1132" s="1893"/>
      <c r="J1132" s="1893"/>
      <c r="K1132" s="1893"/>
      <c r="M1132" s="1349"/>
    </row>
    <row r="1133" spans="2:13" ht="36.75" customHeight="1">
      <c r="B1133" s="2026" t="s">
        <v>1808</v>
      </c>
      <c r="C1133" s="2026"/>
      <c r="D1133" s="2026"/>
      <c r="E1133" s="2026"/>
      <c r="F1133" s="2026"/>
      <c r="G1133" s="2026"/>
      <c r="H1133" s="2026"/>
      <c r="I1133" s="2026"/>
      <c r="J1133" s="2026"/>
      <c r="K1133" s="2026"/>
      <c r="M1133" s="1349"/>
    </row>
    <row r="1134" spans="2:13">
      <c r="B1134" s="1893"/>
      <c r="C1134" s="1893"/>
      <c r="D1134" s="1893"/>
      <c r="E1134" s="1893"/>
      <c r="F1134" s="1893"/>
      <c r="G1134" s="1893"/>
      <c r="H1134" s="1893"/>
      <c r="I1134" s="1893"/>
      <c r="J1134" s="1893"/>
      <c r="K1134" s="1893"/>
      <c r="M1134" s="1349"/>
    </row>
    <row r="1135" spans="2:13" ht="15.75">
      <c r="B1135" s="2003" t="s">
        <v>1377</v>
      </c>
      <c r="C1135" s="2003"/>
      <c r="D1135" s="2003"/>
      <c r="E1135" s="2003"/>
      <c r="F1135" s="2003"/>
      <c r="G1135" s="2003"/>
      <c r="H1135" s="2003"/>
      <c r="I1135" s="2003"/>
      <c r="M1135" s="1349"/>
    </row>
    <row r="1136" spans="2:13">
      <c r="I1136" s="1910" t="s">
        <v>1805</v>
      </c>
      <c r="M1136" s="1349"/>
    </row>
    <row r="1137" spans="2:13" ht="28.5" customHeight="1">
      <c r="B1137" s="2055" t="s">
        <v>12</v>
      </c>
      <c r="C1137" s="2037" t="s">
        <v>1442</v>
      </c>
      <c r="D1137" s="2168" t="s">
        <v>262</v>
      </c>
      <c r="E1137" s="1900" t="str">
        <f>CONCATENATE($F$4-1," год")</f>
        <v>2023 год</v>
      </c>
      <c r="F1137" s="2048" t="str">
        <f>CONCATENATE($F$4," год")</f>
        <v>2024 год</v>
      </c>
      <c r="G1137" s="2048"/>
      <c r="H1137" s="2048"/>
      <c r="I1137" s="2084" t="s">
        <v>1382</v>
      </c>
      <c r="M1137" s="1349"/>
    </row>
    <row r="1138" spans="2:13" ht="28.5" customHeight="1">
      <c r="B1138" s="2055"/>
      <c r="C1138" s="2037"/>
      <c r="D1138" s="2168"/>
      <c r="E1138" s="1918" t="s">
        <v>1288</v>
      </c>
      <c r="F1138" s="1918" t="s">
        <v>1330</v>
      </c>
      <c r="G1138" s="1918" t="s">
        <v>1290</v>
      </c>
      <c r="H1138" s="1408" t="s">
        <v>263</v>
      </c>
      <c r="I1138" s="2084"/>
      <c r="M1138" s="1349"/>
    </row>
    <row r="1139" spans="2:13" ht="28.5" customHeight="1">
      <c r="B1139" s="1929">
        <v>1</v>
      </c>
      <c r="C1139" s="1428">
        <v>2</v>
      </c>
      <c r="D1139" s="1397">
        <v>3</v>
      </c>
      <c r="E1139" s="1367" t="s">
        <v>824</v>
      </c>
      <c r="F1139" s="1367" t="s">
        <v>832</v>
      </c>
      <c r="G1139" s="1367" t="s">
        <v>833</v>
      </c>
      <c r="H1139" s="1367" t="s">
        <v>1291</v>
      </c>
      <c r="I1139" s="2084"/>
      <c r="M1139" s="1349"/>
    </row>
    <row r="1140" spans="2:13" ht="25.5">
      <c r="B1140" s="1452" t="s">
        <v>234</v>
      </c>
      <c r="C1140" s="1459" t="s">
        <v>1810</v>
      </c>
      <c r="D1140" s="1452" t="s">
        <v>600</v>
      </c>
      <c r="E1140" s="1980">
        <f>G205</f>
        <v>0</v>
      </c>
      <c r="F1140" s="1980">
        <f>H205</f>
        <v>0</v>
      </c>
      <c r="G1140" s="1980">
        <f>I205</f>
        <v>0</v>
      </c>
      <c r="H1140" s="1953">
        <f>IFERROR(G1140-F1140,"-")</f>
        <v>0</v>
      </c>
      <c r="I1140" s="1448"/>
      <c r="M1140" s="1349"/>
    </row>
    <row r="1141" spans="2:13">
      <c r="B1141" s="1454" t="s">
        <v>237</v>
      </c>
      <c r="C1141" s="1460" t="s">
        <v>1811</v>
      </c>
      <c r="D1141" s="1454" t="s">
        <v>268</v>
      </c>
      <c r="E1141" s="1458">
        <v>0.05</v>
      </c>
      <c r="F1141" s="1458">
        <v>0.05</v>
      </c>
      <c r="G1141" s="1458">
        <v>0.05</v>
      </c>
      <c r="H1141" s="1961">
        <f>IFERROR(G1141-F1141,"-")</f>
        <v>0</v>
      </c>
      <c r="I1141" s="1448"/>
      <c r="M1141" s="1349"/>
    </row>
    <row r="1142" spans="2:13" ht="25.5">
      <c r="B1142" s="1452" t="s">
        <v>239</v>
      </c>
      <c r="C1142" s="1459" t="s">
        <v>1377</v>
      </c>
      <c r="D1142" s="1452" t="s">
        <v>600</v>
      </c>
      <c r="E1142" s="1979">
        <f>E1140*E1141</f>
        <v>0</v>
      </c>
      <c r="F1142" s="1979">
        <f>F1140*F1141</f>
        <v>0</v>
      </c>
      <c r="G1142" s="1979">
        <f>G1140*G1141</f>
        <v>0</v>
      </c>
      <c r="H1142" s="1953">
        <f>IFERROR(G1142-F1142,"-")</f>
        <v>0</v>
      </c>
      <c r="I1142" s="1448"/>
      <c r="M1142" s="1349"/>
    </row>
    <row r="1143" spans="2:13">
      <c r="M1143" s="1349"/>
    </row>
    <row r="1144" spans="2:13">
      <c r="B1144" s="2025" t="str">
        <f>CONCATENATE("При прогнозировании расчетной предпринимательской прибыли сетевой организации на ",$F$4," год «Регулятор» руководствовался:")</f>
        <v>При прогнозировании расчетной предпринимательской прибыли сетевой организации на 2024 год «Регулятор» руководствовался:</v>
      </c>
      <c r="C1144" s="2025"/>
      <c r="D1144" s="2025"/>
      <c r="E1144" s="2025"/>
      <c r="F1144" s="2025"/>
      <c r="G1144" s="2025"/>
      <c r="H1144" s="2025"/>
      <c r="I1144" s="2025"/>
      <c r="J1144" s="2025"/>
      <c r="K1144" s="2025"/>
      <c r="M1144" s="1349"/>
    </row>
    <row r="1145" spans="2:13">
      <c r="B1145" s="2026"/>
      <c r="C1145" s="2026"/>
      <c r="D1145" s="2026"/>
      <c r="E1145" s="2026"/>
      <c r="F1145" s="2026"/>
      <c r="G1145" s="2026"/>
      <c r="H1145" s="2026"/>
      <c r="I1145" s="2026"/>
      <c r="J1145" s="2026"/>
      <c r="K1145" s="2026"/>
      <c r="M1145" s="2044"/>
    </row>
    <row r="1146" spans="2:13">
      <c r="B1146" s="2026"/>
      <c r="C1146" s="2026"/>
      <c r="D1146" s="2026"/>
      <c r="E1146" s="2026"/>
      <c r="F1146" s="2026"/>
      <c r="G1146" s="2026"/>
      <c r="H1146" s="2026"/>
      <c r="I1146" s="2026"/>
      <c r="J1146" s="2026"/>
      <c r="K1146" s="2026"/>
      <c r="M1146" s="2045"/>
    </row>
    <row r="1147" spans="2:13">
      <c r="B1147" s="2026"/>
      <c r="C1147" s="2026"/>
      <c r="D1147" s="2026"/>
      <c r="E1147" s="2026"/>
      <c r="F1147" s="2026"/>
      <c r="G1147" s="2026"/>
      <c r="H1147" s="2026"/>
      <c r="I1147" s="2026"/>
      <c r="J1147" s="2026"/>
      <c r="K1147" s="2026"/>
      <c r="M1147" s="2046"/>
    </row>
    <row r="1148" spans="2:13">
      <c r="B1148" s="2025" t="str">
        <f>CONCATENATE("Корректировка предложения «Организации» на ",$F$4," год составила ",H1142,"   тыс. руб. на основании:")</f>
        <v>Корректировка предложения «Организации» на 2024 год составила 0   тыс. руб. на основании:</v>
      </c>
      <c r="C1148" s="2025"/>
      <c r="D1148" s="2025"/>
      <c r="E1148" s="2025"/>
      <c r="F1148" s="2025"/>
      <c r="G1148" s="2025"/>
      <c r="H1148" s="2025"/>
      <c r="I1148" s="2025"/>
      <c r="J1148" s="2025"/>
      <c r="K1148" s="2025"/>
      <c r="M1148" s="1349"/>
    </row>
    <row r="1149" spans="2:13">
      <c r="B1149" s="2026"/>
      <c r="C1149" s="2026"/>
      <c r="D1149" s="2026"/>
      <c r="E1149" s="2026"/>
      <c r="F1149" s="2026"/>
      <c r="G1149" s="2026"/>
      <c r="H1149" s="2026"/>
      <c r="I1149" s="2026"/>
      <c r="J1149" s="2026"/>
      <c r="K1149" s="2026"/>
      <c r="M1149" s="2044" t="s">
        <v>1412</v>
      </c>
    </row>
    <row r="1150" spans="2:13">
      <c r="B1150" s="2026"/>
      <c r="C1150" s="2026"/>
      <c r="D1150" s="2026"/>
      <c r="E1150" s="2026"/>
      <c r="F1150" s="2026"/>
      <c r="G1150" s="2026"/>
      <c r="H1150" s="2026"/>
      <c r="I1150" s="2026"/>
      <c r="J1150" s="2026"/>
      <c r="K1150" s="2026"/>
      <c r="M1150" s="2045"/>
    </row>
    <row r="1151" spans="2:13">
      <c r="B1151" s="2026"/>
      <c r="C1151" s="2026"/>
      <c r="D1151" s="2026"/>
      <c r="E1151" s="2026"/>
      <c r="F1151" s="2026"/>
      <c r="G1151" s="2026"/>
      <c r="H1151" s="2026"/>
      <c r="I1151" s="2026"/>
      <c r="J1151" s="2026"/>
      <c r="K1151" s="2026"/>
      <c r="M1151" s="2046"/>
    </row>
    <row r="1152" spans="2:13">
      <c r="M1152" s="1349"/>
    </row>
    <row r="1153" spans="2:13" ht="18" customHeight="1">
      <c r="B1153" s="2014" t="s">
        <v>1812</v>
      </c>
      <c r="C1153" s="2014"/>
      <c r="D1153" s="2014"/>
      <c r="E1153" s="2014"/>
      <c r="F1153" s="2014"/>
      <c r="G1153" s="2014"/>
      <c r="H1153" s="2014"/>
      <c r="I1153" s="2014"/>
      <c r="J1153" s="2014"/>
      <c r="K1153" s="2014"/>
      <c r="M1153" s="1349"/>
    </row>
    <row r="1154" spans="2:13">
      <c r="M1154" s="1349"/>
    </row>
    <row r="1155" spans="2:13">
      <c r="B1155" s="2025" t="s">
        <v>1813</v>
      </c>
      <c r="C1155" s="2025"/>
      <c r="D1155" s="2025"/>
      <c r="E1155" s="2025"/>
      <c r="F1155" s="2025"/>
      <c r="G1155" s="2025"/>
      <c r="H1155" s="2025"/>
      <c r="I1155" s="2025"/>
      <c r="J1155" s="2025"/>
      <c r="K1155" s="2025"/>
      <c r="M1155" s="1349"/>
    </row>
    <row r="1156" spans="2:13">
      <c r="B1156" s="2026"/>
      <c r="C1156" s="2026"/>
      <c r="D1156" s="2026"/>
      <c r="E1156" s="2026"/>
      <c r="F1156" s="2026"/>
      <c r="G1156" s="2026"/>
      <c r="H1156" s="2026"/>
      <c r="I1156" s="2026"/>
      <c r="J1156" s="2026"/>
      <c r="K1156" s="2026"/>
      <c r="M1156" s="1349"/>
    </row>
    <row r="1157" spans="2:13">
      <c r="B1157" s="2026"/>
      <c r="C1157" s="2026"/>
      <c r="D1157" s="2026"/>
      <c r="E1157" s="2026"/>
      <c r="F1157" s="2026"/>
      <c r="G1157" s="2026"/>
      <c r="H1157" s="2026"/>
      <c r="I1157" s="2026"/>
      <c r="J1157" s="2026"/>
      <c r="K1157" s="2026"/>
      <c r="M1157" s="1349"/>
    </row>
    <row r="1158" spans="2:13">
      <c r="B1158" s="2026"/>
      <c r="C1158" s="2026"/>
      <c r="D1158" s="2026"/>
      <c r="E1158" s="2026"/>
      <c r="F1158" s="2026"/>
      <c r="G1158" s="2026"/>
      <c r="H1158" s="2026"/>
      <c r="I1158" s="2026"/>
      <c r="J1158" s="2026"/>
      <c r="K1158" s="2026"/>
      <c r="M1158" s="1349"/>
    </row>
    <row r="1159" spans="2:13">
      <c r="B1159" s="2025" t="s">
        <v>1814</v>
      </c>
      <c r="C1159" s="2025"/>
      <c r="D1159" s="2025"/>
      <c r="E1159" s="2025"/>
      <c r="F1159" s="2025"/>
      <c r="G1159" s="2025"/>
      <c r="H1159" s="2025"/>
      <c r="I1159" s="2025"/>
      <c r="J1159" s="2025"/>
      <c r="K1159" s="2025"/>
      <c r="M1159" s="1349"/>
    </row>
    <row r="1160" spans="2:13">
      <c r="B1160" s="2026"/>
      <c r="C1160" s="2026"/>
      <c r="D1160" s="2026"/>
      <c r="E1160" s="2026"/>
      <c r="F1160" s="2026"/>
      <c r="G1160" s="2026"/>
      <c r="H1160" s="2026"/>
      <c r="I1160" s="2026"/>
      <c r="J1160" s="2026"/>
      <c r="K1160" s="2026"/>
      <c r="M1160" s="1349"/>
    </row>
    <row r="1161" spans="2:13">
      <c r="B1161" s="2026"/>
      <c r="C1161" s="2026"/>
      <c r="D1161" s="2026"/>
      <c r="E1161" s="2026"/>
      <c r="F1161" s="2026"/>
      <c r="G1161" s="2026"/>
      <c r="H1161" s="2026"/>
      <c r="I1161" s="2026"/>
      <c r="J1161" s="2026"/>
      <c r="K1161" s="2026"/>
      <c r="M1161" s="1349"/>
    </row>
    <row r="1162" spans="2:13">
      <c r="B1162" s="2026"/>
      <c r="C1162" s="2026"/>
      <c r="D1162" s="2026"/>
      <c r="E1162" s="2026"/>
      <c r="F1162" s="2026"/>
      <c r="G1162" s="2026"/>
      <c r="H1162" s="2026"/>
      <c r="I1162" s="2026"/>
      <c r="J1162" s="2026"/>
      <c r="K1162" s="2026"/>
      <c r="M1162" s="1349"/>
    </row>
    <row r="1163" spans="2:13">
      <c r="M1163" s="1349"/>
    </row>
    <row r="1164" spans="2:13" ht="45.75" customHeight="1">
      <c r="B1164" s="2014" t="s">
        <v>1815</v>
      </c>
      <c r="C1164" s="2014"/>
      <c r="D1164" s="2014"/>
      <c r="E1164" s="2014"/>
      <c r="F1164" s="2014"/>
      <c r="G1164" s="2014"/>
      <c r="H1164" s="2014"/>
      <c r="I1164" s="2014"/>
      <c r="J1164" s="2014"/>
      <c r="K1164" s="2014"/>
      <c r="M1164" s="1349"/>
    </row>
    <row r="1165" spans="2:13">
      <c r="M1165" s="1349"/>
    </row>
    <row r="1166" spans="2:13" ht="15.75">
      <c r="B1166" s="2003" t="s">
        <v>1816</v>
      </c>
      <c r="C1166" s="2003"/>
      <c r="D1166" s="2003"/>
      <c r="E1166" s="2003"/>
      <c r="F1166" s="2003"/>
      <c r="G1166" s="2003"/>
      <c r="M1166" s="1349"/>
    </row>
    <row r="1167" spans="2:13">
      <c r="G1167" s="1910" t="s">
        <v>1809</v>
      </c>
      <c r="M1167" s="1349"/>
    </row>
    <row r="1168" spans="2:13" ht="33.75">
      <c r="B1168" s="1918" t="s">
        <v>12</v>
      </c>
      <c r="C1168" s="1924" t="s">
        <v>954</v>
      </c>
      <c r="D1168" s="1924" t="s">
        <v>262</v>
      </c>
      <c r="E1168" s="1461" t="str">
        <f>CONCATENATE(" Фактические показатели за ",F4-3," год")</f>
        <v xml:space="preserve"> Фактические показатели за 2021 год</v>
      </c>
      <c r="F1168" s="1461" t="str">
        <f>CONCATENATE(" Фактические показатели за ",F4-2," год")</f>
        <v xml:space="preserve"> Фактические показатели за 2022 год</v>
      </c>
      <c r="G1168" s="1408" t="s">
        <v>263</v>
      </c>
      <c r="M1168" s="1349"/>
    </row>
    <row r="1169" spans="2:13">
      <c r="B1169" s="1397">
        <v>1</v>
      </c>
      <c r="C1169" s="1420">
        <v>2</v>
      </c>
      <c r="D1169" s="1420">
        <v>3</v>
      </c>
      <c r="E1169" s="1420">
        <v>4</v>
      </c>
      <c r="F1169" s="1367">
        <v>5</v>
      </c>
      <c r="G1169" s="1397" t="s">
        <v>1550</v>
      </c>
      <c r="M1169" s="1349"/>
    </row>
    <row r="1170" spans="2:13">
      <c r="B1170" s="1919" t="s">
        <v>234</v>
      </c>
      <c r="C1170" s="2172" t="s">
        <v>1818</v>
      </c>
      <c r="D1170" s="2172"/>
      <c r="E1170" s="2172"/>
      <c r="F1170" s="2172"/>
      <c r="G1170" s="2172"/>
      <c r="M1170" s="1349"/>
    </row>
    <row r="1171" spans="2:13">
      <c r="B1171" s="1919" t="s">
        <v>267</v>
      </c>
      <c r="C1171" s="1410" t="s">
        <v>1819</v>
      </c>
      <c r="D1171" s="1368" t="s">
        <v>226</v>
      </c>
      <c r="E1171" s="1927"/>
      <c r="F1171" s="1370"/>
      <c r="G1171" s="1953">
        <f t="shared" ref="G1171:G1182" si="38">IFERROR(F1171-E1171,"-")</f>
        <v>0</v>
      </c>
      <c r="M1171" s="1349"/>
    </row>
    <row r="1172" spans="2:13">
      <c r="B1172" s="1919" t="s">
        <v>269</v>
      </c>
      <c r="C1172" s="1410" t="s">
        <v>1820</v>
      </c>
      <c r="D1172" s="1368" t="s">
        <v>226</v>
      </c>
      <c r="E1172" s="1370"/>
      <c r="F1172" s="1370"/>
      <c r="G1172" s="1953">
        <f t="shared" si="38"/>
        <v>0</v>
      </c>
      <c r="M1172" s="1349"/>
    </row>
    <row r="1173" spans="2:13">
      <c r="B1173" s="1919" t="s">
        <v>270</v>
      </c>
      <c r="C1173" s="1410" t="s">
        <v>1269</v>
      </c>
      <c r="D1173" s="1368" t="s">
        <v>226</v>
      </c>
      <c r="E1173" s="1370"/>
      <c r="F1173" s="1370"/>
      <c r="G1173" s="1953">
        <f t="shared" si="38"/>
        <v>0</v>
      </c>
      <c r="M1173" s="1349"/>
    </row>
    <row r="1174" spans="2:13">
      <c r="B1174" s="1919" t="s">
        <v>286</v>
      </c>
      <c r="C1174" s="1410" t="s">
        <v>1821</v>
      </c>
      <c r="D1174" s="1368" t="s">
        <v>226</v>
      </c>
      <c r="E1174" s="1370"/>
      <c r="F1174" s="1370"/>
      <c r="G1174" s="1953">
        <f t="shared" si="38"/>
        <v>0</v>
      </c>
      <c r="M1174" s="1349"/>
    </row>
    <row r="1175" spans="2:13">
      <c r="B1175" s="1919" t="s">
        <v>624</v>
      </c>
      <c r="C1175" s="1410"/>
      <c r="D1175" s="1368" t="s">
        <v>226</v>
      </c>
      <c r="E1175" s="1462"/>
      <c r="F1175" s="1462"/>
      <c r="G1175" s="1953">
        <f t="shared" si="38"/>
        <v>0</v>
      </c>
      <c r="M1175" s="1349"/>
    </row>
    <row r="1176" spans="2:13">
      <c r="B1176" s="1919" t="s">
        <v>1438</v>
      </c>
      <c r="C1176" s="1410"/>
      <c r="D1176" s="1368" t="s">
        <v>226</v>
      </c>
      <c r="E1176" s="1462"/>
      <c r="F1176" s="1462"/>
      <c r="G1176" s="1953">
        <f t="shared" si="38"/>
        <v>0</v>
      </c>
      <c r="M1176" s="1349"/>
    </row>
    <row r="1177" spans="2:13" ht="22.5">
      <c r="B1177" s="1919" t="s">
        <v>237</v>
      </c>
      <c r="C1177" s="1932" t="s">
        <v>1822</v>
      </c>
      <c r="D1177" s="1368" t="s">
        <v>268</v>
      </c>
      <c r="E1177" s="1463"/>
      <c r="F1177" s="1463"/>
      <c r="G1177" s="1961">
        <f t="shared" si="38"/>
        <v>0</v>
      </c>
      <c r="M1177" s="1349"/>
    </row>
    <row r="1178" spans="2:13" ht="22.5">
      <c r="B1178" s="1919" t="s">
        <v>239</v>
      </c>
      <c r="C1178" s="1932" t="s">
        <v>1823</v>
      </c>
      <c r="D1178" s="1368" t="s">
        <v>226</v>
      </c>
      <c r="E1178" s="1370"/>
      <c r="F1178" s="1370"/>
      <c r="G1178" s="1953">
        <f t="shared" si="38"/>
        <v>0</v>
      </c>
      <c r="M1178" s="1349"/>
    </row>
    <row r="1179" spans="2:13" ht="22.5">
      <c r="B1179" s="1919" t="s">
        <v>242</v>
      </c>
      <c r="C1179" s="1932" t="s">
        <v>1824</v>
      </c>
      <c r="D1179" s="1368" t="s">
        <v>226</v>
      </c>
      <c r="E1179" s="1370"/>
      <c r="F1179" s="1370"/>
      <c r="G1179" s="1953">
        <f t="shared" si="38"/>
        <v>0</v>
      </c>
      <c r="M1179" s="1349"/>
    </row>
    <row r="1180" spans="2:13">
      <c r="B1180" s="1919" t="s">
        <v>473</v>
      </c>
      <c r="C1180" s="1410" t="s">
        <v>1825</v>
      </c>
      <c r="D1180" s="1368" t="s">
        <v>226</v>
      </c>
      <c r="E1180" s="1370"/>
      <c r="F1180" s="1370"/>
      <c r="G1180" s="1953">
        <f t="shared" si="38"/>
        <v>0</v>
      </c>
      <c r="M1180" s="1349"/>
    </row>
    <row r="1181" spans="2:13">
      <c r="B1181" s="1919" t="s">
        <v>481</v>
      </c>
      <c r="C1181" s="1410" t="s">
        <v>1826</v>
      </c>
      <c r="D1181" s="1368" t="s">
        <v>226</v>
      </c>
      <c r="E1181" s="1370"/>
      <c r="F1181" s="1370"/>
      <c r="G1181" s="1953">
        <f t="shared" si="38"/>
        <v>0</v>
      </c>
      <c r="M1181" s="1349"/>
    </row>
    <row r="1182" spans="2:13">
      <c r="B1182" s="1919" t="s">
        <v>489</v>
      </c>
      <c r="C1182" s="1410" t="s">
        <v>1827</v>
      </c>
      <c r="D1182" s="1368" t="s">
        <v>226</v>
      </c>
      <c r="E1182" s="1370"/>
      <c r="F1182" s="1370"/>
      <c r="G1182" s="1953">
        <f t="shared" si="38"/>
        <v>0</v>
      </c>
      <c r="M1182" s="1349"/>
    </row>
    <row r="1183" spans="2:13">
      <c r="M1183" s="1349"/>
    </row>
    <row r="1184" spans="2:13">
      <c r="B1184" s="2025" t="s">
        <v>1828</v>
      </c>
      <c r="C1184" s="2025"/>
      <c r="D1184" s="2025"/>
      <c r="E1184" s="2025"/>
      <c r="F1184" s="2025"/>
      <c r="G1184" s="2025"/>
      <c r="H1184" s="2025"/>
      <c r="I1184" s="2025"/>
      <c r="J1184" s="2025"/>
      <c r="K1184" s="2025"/>
      <c r="M1184" s="1349"/>
    </row>
    <row r="1185" spans="2:13">
      <c r="M1185" s="1349"/>
    </row>
    <row r="1186" spans="2:13" ht="45.75" customHeight="1">
      <c r="B1186" s="2014" t="s">
        <v>1829</v>
      </c>
      <c r="C1186" s="2014"/>
      <c r="D1186" s="2014"/>
      <c r="E1186" s="2014"/>
      <c r="F1186" s="2014"/>
      <c r="G1186" s="2014"/>
      <c r="H1186" s="2014"/>
      <c r="I1186" s="2014"/>
      <c r="J1186" s="2014"/>
      <c r="K1186" s="2014"/>
      <c r="M1186" s="1349" t="s">
        <v>1830</v>
      </c>
    </row>
    <row r="1187" spans="2:13" ht="18">
      <c r="B1187" s="2014" t="s">
        <v>1831</v>
      </c>
      <c r="C1187" s="2014"/>
      <c r="D1187" s="2014"/>
      <c r="E1187" s="2014"/>
      <c r="F1187" s="2014"/>
      <c r="G1187" s="2014"/>
      <c r="H1187" s="2014"/>
      <c r="I1187" s="2014"/>
      <c r="J1187" s="2014"/>
      <c r="K1187" s="2014"/>
      <c r="M1187" s="1349"/>
    </row>
    <row r="1188" spans="2:13">
      <c r="M1188" s="1349"/>
    </row>
    <row r="1189" spans="2:13" ht="53.25" customHeight="1">
      <c r="B1189" s="2025" t="s">
        <v>1832</v>
      </c>
      <c r="C1189" s="2025"/>
      <c r="D1189" s="2025"/>
      <c r="E1189" s="2025"/>
      <c r="F1189" s="2025"/>
      <c r="G1189" s="2025"/>
      <c r="H1189" s="2025"/>
      <c r="I1189" s="2025"/>
      <c r="J1189" s="2025"/>
      <c r="K1189" s="2025"/>
      <c r="M1189" s="1349" t="s">
        <v>1833</v>
      </c>
    </row>
    <row r="1190" spans="2:13">
      <c r="B1190" s="2025" t="s">
        <v>1834</v>
      </c>
      <c r="C1190" s="2025"/>
      <c r="D1190" s="2025"/>
      <c r="E1190" s="2025"/>
      <c r="F1190" s="2025"/>
      <c r="G1190" s="2025"/>
      <c r="H1190" s="2025"/>
      <c r="I1190" s="2025"/>
      <c r="J1190" s="2025"/>
      <c r="K1190" s="2025"/>
      <c r="M1190" s="1349"/>
    </row>
    <row r="1191" spans="2:13">
      <c r="H1191" s="1910" t="s">
        <v>1817</v>
      </c>
      <c r="M1191" s="1349"/>
    </row>
    <row r="1192" spans="2:13">
      <c r="B1192" s="2055" t="s">
        <v>12</v>
      </c>
      <c r="C1192" s="2123" t="s">
        <v>1836</v>
      </c>
      <c r="D1192" s="2123" t="s">
        <v>1837</v>
      </c>
      <c r="E1192" s="2123"/>
      <c r="F1192" s="2123"/>
      <c r="G1192" s="2123"/>
      <c r="H1192" s="2123"/>
      <c r="M1192" s="1349"/>
    </row>
    <row r="1193" spans="2:13">
      <c r="B1193" s="2055"/>
      <c r="C1193" s="2123"/>
      <c r="D1193" s="2123"/>
      <c r="E1193" s="2123"/>
      <c r="F1193" s="2123"/>
      <c r="G1193" s="2123"/>
      <c r="H1193" s="2123"/>
      <c r="M1193" s="1349"/>
    </row>
    <row r="1194" spans="2:13">
      <c r="B1194" s="1929">
        <v>1</v>
      </c>
      <c r="C1194" s="1929">
        <v>2</v>
      </c>
      <c r="D1194" s="2162">
        <v>3</v>
      </c>
      <c r="E1194" s="2162"/>
      <c r="F1194" s="2162"/>
      <c r="G1194" s="2162"/>
      <c r="H1194" s="2162"/>
      <c r="M1194" s="1349"/>
    </row>
    <row r="1195" spans="2:13">
      <c r="B1195" s="1919" t="s">
        <v>234</v>
      </c>
      <c r="C1195" s="1370"/>
      <c r="D1195" s="2170"/>
      <c r="E1195" s="2170"/>
      <c r="F1195" s="2170"/>
      <c r="G1195" s="2170"/>
      <c r="H1195" s="2170"/>
      <c r="M1195" s="1349"/>
    </row>
    <row r="1196" spans="2:13">
      <c r="B1196" s="1919" t="s">
        <v>237</v>
      </c>
      <c r="C1196" s="1370"/>
      <c r="D1196" s="2170"/>
      <c r="E1196" s="2170"/>
      <c r="F1196" s="2170"/>
      <c r="G1196" s="2170"/>
      <c r="H1196" s="2170"/>
      <c r="M1196" s="1349"/>
    </row>
    <row r="1197" spans="2:13">
      <c r="B1197" s="1919" t="s">
        <v>1838</v>
      </c>
      <c r="C1197" s="1370"/>
      <c r="D1197" s="2170"/>
      <c r="E1197" s="2170"/>
      <c r="F1197" s="2170"/>
      <c r="G1197" s="2170"/>
      <c r="H1197" s="2170"/>
      <c r="M1197" s="1349"/>
    </row>
    <row r="1198" spans="2:13">
      <c r="M1198" s="1349"/>
    </row>
    <row r="1199" spans="2:13" ht="18">
      <c r="B1199" s="2014" t="s">
        <v>1839</v>
      </c>
      <c r="C1199" s="2014"/>
      <c r="D1199" s="2014"/>
      <c r="E1199" s="2014"/>
      <c r="F1199" s="2014"/>
      <c r="G1199" s="2014"/>
      <c r="H1199" s="2014"/>
      <c r="I1199" s="2014"/>
      <c r="J1199" s="2014"/>
      <c r="K1199" s="2014"/>
      <c r="M1199" s="1349"/>
    </row>
    <row r="1200" spans="2:13">
      <c r="M1200" s="1349"/>
    </row>
    <row r="1201" spans="2:13" ht="30">
      <c r="B1201" s="2025" t="s">
        <v>1840</v>
      </c>
      <c r="C1201" s="2025"/>
      <c r="D1201" s="2025"/>
      <c r="E1201" s="2025"/>
      <c r="F1201" s="2025"/>
      <c r="G1201" s="2025"/>
      <c r="H1201" s="2025"/>
      <c r="I1201" s="2025"/>
      <c r="J1201" s="2025"/>
      <c r="K1201" s="2025"/>
      <c r="M1201" s="1349" t="s">
        <v>1833</v>
      </c>
    </row>
    <row r="1202" spans="2:13">
      <c r="B1202" s="2025" t="s">
        <v>1834</v>
      </c>
      <c r="C1202" s="2025"/>
      <c r="D1202" s="2025"/>
      <c r="E1202" s="2025"/>
      <c r="F1202" s="2025"/>
      <c r="G1202" s="2025"/>
      <c r="H1202" s="2025"/>
      <c r="I1202" s="2025"/>
      <c r="J1202" s="2025"/>
      <c r="K1202" s="2025"/>
      <c r="M1202" s="1349"/>
    </row>
    <row r="1203" spans="2:13">
      <c r="H1203" s="1910" t="s">
        <v>1835</v>
      </c>
      <c r="M1203" s="1349"/>
    </row>
    <row r="1204" spans="2:13">
      <c r="B1204" s="2055" t="s">
        <v>12</v>
      </c>
      <c r="C1204" s="2123" t="s">
        <v>1836</v>
      </c>
      <c r="D1204" s="2123" t="s">
        <v>1837</v>
      </c>
      <c r="E1204" s="2123"/>
      <c r="F1204" s="2123"/>
      <c r="G1204" s="2123"/>
      <c r="H1204" s="2123"/>
      <c r="M1204" s="1349"/>
    </row>
    <row r="1205" spans="2:13">
      <c r="B1205" s="2055"/>
      <c r="C1205" s="2123"/>
      <c r="D1205" s="2123"/>
      <c r="E1205" s="2123"/>
      <c r="F1205" s="2123"/>
      <c r="G1205" s="2123"/>
      <c r="H1205" s="2123"/>
      <c r="M1205" s="1349"/>
    </row>
    <row r="1206" spans="2:13">
      <c r="B1206" s="1929">
        <v>1</v>
      </c>
      <c r="C1206" s="1929">
        <v>2</v>
      </c>
      <c r="D1206" s="2162">
        <v>3</v>
      </c>
      <c r="E1206" s="2162"/>
      <c r="F1206" s="2162"/>
      <c r="G1206" s="2162"/>
      <c r="H1206" s="2162"/>
      <c r="M1206" s="1349"/>
    </row>
    <row r="1207" spans="2:13">
      <c r="B1207" s="1919" t="s">
        <v>234</v>
      </c>
      <c r="C1207" s="1370"/>
      <c r="D1207" s="2170"/>
      <c r="E1207" s="2170"/>
      <c r="F1207" s="2170"/>
      <c r="G1207" s="2170"/>
      <c r="H1207" s="2170"/>
      <c r="M1207" s="1349"/>
    </row>
    <row r="1208" spans="2:13">
      <c r="B1208" s="1919" t="s">
        <v>237</v>
      </c>
      <c r="C1208" s="1370"/>
      <c r="D1208" s="2170"/>
      <c r="E1208" s="2170"/>
      <c r="F1208" s="2170"/>
      <c r="G1208" s="2170"/>
      <c r="H1208" s="2170"/>
      <c r="M1208" s="1349"/>
    </row>
    <row r="1209" spans="2:13">
      <c r="B1209" s="1919" t="s">
        <v>1838</v>
      </c>
      <c r="C1209" s="1370"/>
      <c r="D1209" s="2170"/>
      <c r="E1209" s="2170"/>
      <c r="F1209" s="2170"/>
      <c r="G1209" s="2170"/>
      <c r="H1209" s="2170"/>
      <c r="M1209" s="1349"/>
    </row>
    <row r="1210" spans="2:13">
      <c r="M1210" s="1349"/>
    </row>
    <row r="1211" spans="2:13" ht="45" customHeight="1">
      <c r="B1211" s="2014" t="s">
        <v>1842</v>
      </c>
      <c r="C1211" s="2014"/>
      <c r="D1211" s="2014"/>
      <c r="E1211" s="2014"/>
      <c r="F1211" s="2014"/>
      <c r="G1211" s="2014"/>
      <c r="H1211" s="2014"/>
      <c r="I1211" s="2014"/>
      <c r="J1211" s="2014"/>
      <c r="K1211" s="2014"/>
      <c r="M1211" s="1349"/>
    </row>
    <row r="1212" spans="2:13">
      <c r="M1212" s="1349"/>
    </row>
    <row r="1213" spans="2:13">
      <c r="M1213" s="1349"/>
    </row>
    <row r="1214" spans="2:13" ht="57.75" customHeight="1">
      <c r="B1214" s="2025" t="s">
        <v>2046</v>
      </c>
      <c r="C1214" s="2025"/>
      <c r="D1214" s="2025"/>
      <c r="E1214" s="2025"/>
      <c r="F1214" s="2025"/>
      <c r="G1214" s="2025"/>
      <c r="H1214" s="2025"/>
      <c r="I1214" s="2025"/>
      <c r="J1214" s="2025"/>
      <c r="K1214" s="2025"/>
      <c r="M1214" s="1349"/>
    </row>
    <row r="1215" spans="2:13">
      <c r="B1215" s="2025" t="s">
        <v>1843</v>
      </c>
      <c r="C1215" s="2025"/>
      <c r="D1215" s="2025"/>
      <c r="E1215" s="2025"/>
      <c r="F1215" s="2025"/>
      <c r="G1215" s="2025"/>
      <c r="H1215" s="2025"/>
      <c r="I1215" s="2025"/>
      <c r="J1215" s="2025"/>
      <c r="K1215" s="2025"/>
      <c r="M1215" s="1349"/>
    </row>
    <row r="1216" spans="2:13">
      <c r="B1216" s="2025" t="s">
        <v>1834</v>
      </c>
      <c r="C1216" s="2025"/>
      <c r="D1216" s="2025"/>
      <c r="E1216" s="2025"/>
      <c r="F1216" s="2025"/>
      <c r="G1216" s="2025"/>
      <c r="H1216" s="2025"/>
      <c r="I1216" s="2025"/>
      <c r="J1216" s="2025"/>
      <c r="K1216" s="2025"/>
      <c r="M1216" s="1349"/>
    </row>
    <row r="1217" spans="2:13">
      <c r="H1217" s="1910" t="s">
        <v>1841</v>
      </c>
      <c r="M1217" s="1349"/>
    </row>
    <row r="1218" spans="2:13">
      <c r="B1218" s="2055" t="s">
        <v>12</v>
      </c>
      <c r="C1218" s="2123" t="s">
        <v>1836</v>
      </c>
      <c r="D1218" s="2123" t="s">
        <v>1837</v>
      </c>
      <c r="E1218" s="2123"/>
      <c r="F1218" s="2123"/>
      <c r="G1218" s="2123"/>
      <c r="H1218" s="2123"/>
      <c r="M1218" s="1349"/>
    </row>
    <row r="1219" spans="2:13">
      <c r="B1219" s="2055"/>
      <c r="C1219" s="2123"/>
      <c r="D1219" s="2123"/>
      <c r="E1219" s="2123"/>
      <c r="F1219" s="2123"/>
      <c r="G1219" s="2123"/>
      <c r="H1219" s="2123"/>
      <c r="M1219" s="1349"/>
    </row>
    <row r="1220" spans="2:13">
      <c r="B1220" s="1929">
        <v>1</v>
      </c>
      <c r="C1220" s="1929">
        <v>2</v>
      </c>
      <c r="D1220" s="2162">
        <v>3</v>
      </c>
      <c r="E1220" s="2162"/>
      <c r="F1220" s="2162"/>
      <c r="G1220" s="2162"/>
      <c r="H1220" s="2162"/>
      <c r="M1220" s="1349"/>
    </row>
    <row r="1221" spans="2:13">
      <c r="B1221" s="1919" t="s">
        <v>234</v>
      </c>
      <c r="C1221" s="1370"/>
      <c r="D1221" s="2170"/>
      <c r="E1221" s="2170"/>
      <c r="F1221" s="2170"/>
      <c r="G1221" s="2170"/>
      <c r="H1221" s="2170"/>
      <c r="M1221" s="1349"/>
    </row>
    <row r="1222" spans="2:13">
      <c r="B1222" s="1919" t="s">
        <v>237</v>
      </c>
      <c r="C1222" s="1370"/>
      <c r="D1222" s="2170"/>
      <c r="E1222" s="2170"/>
      <c r="F1222" s="2170"/>
      <c r="G1222" s="2170"/>
      <c r="H1222" s="2170"/>
      <c r="M1222" s="1349"/>
    </row>
    <row r="1223" spans="2:13">
      <c r="B1223" s="1919" t="s">
        <v>1838</v>
      </c>
      <c r="C1223" s="1370"/>
      <c r="D1223" s="2170"/>
      <c r="E1223" s="2170"/>
      <c r="F1223" s="2170"/>
      <c r="G1223" s="2170"/>
      <c r="H1223" s="2170"/>
      <c r="M1223" s="1349"/>
    </row>
    <row r="1224" spans="2:13">
      <c r="M1224" s="1349"/>
    </row>
    <row r="1225" spans="2:13" ht="18">
      <c r="B1225" s="2014" t="s">
        <v>1845</v>
      </c>
      <c r="C1225" s="2014"/>
      <c r="D1225" s="2014"/>
      <c r="E1225" s="2014"/>
      <c r="F1225" s="2014"/>
      <c r="G1225" s="2014"/>
      <c r="H1225" s="2014"/>
      <c r="I1225" s="2014"/>
      <c r="J1225" s="2014"/>
      <c r="K1225" s="2014"/>
      <c r="M1225" s="1349"/>
    </row>
    <row r="1226" spans="2:13">
      <c r="M1226" s="1349"/>
    </row>
    <row r="1227" spans="2:13" ht="37.5" customHeight="1">
      <c r="B1227" s="2025" t="s">
        <v>1846</v>
      </c>
      <c r="C1227" s="2025"/>
      <c r="D1227" s="2025"/>
      <c r="E1227" s="2025"/>
      <c r="F1227" s="2025"/>
      <c r="G1227" s="2025"/>
      <c r="H1227" s="2025"/>
      <c r="I1227" s="2025"/>
      <c r="J1227" s="2025"/>
      <c r="K1227" s="2025"/>
      <c r="M1227" s="1349"/>
    </row>
    <row r="1228" spans="2:13">
      <c r="M1228" s="1349"/>
    </row>
    <row r="1229" spans="2:13" ht="42" customHeight="1">
      <c r="B1229" s="2003" t="s">
        <v>1847</v>
      </c>
      <c r="C1229" s="2003"/>
      <c r="D1229" s="2003"/>
      <c r="E1229" s="2003"/>
      <c r="F1229" s="2003"/>
      <c r="M1229" s="1349"/>
    </row>
    <row r="1230" spans="2:13">
      <c r="F1230" s="1910" t="s">
        <v>1844</v>
      </c>
      <c r="M1230" s="1349"/>
    </row>
    <row r="1231" spans="2:13" ht="38.25">
      <c r="B1231" s="1896" t="s">
        <v>12</v>
      </c>
      <c r="C1231" s="1896" t="s">
        <v>1849</v>
      </c>
      <c r="D1231" s="1918" t="s">
        <v>1330</v>
      </c>
      <c r="E1231" s="1918" t="s">
        <v>1290</v>
      </c>
      <c r="F1231" s="1464" t="s">
        <v>1850</v>
      </c>
      <c r="M1231" s="1349"/>
    </row>
    <row r="1232" spans="2:13" ht="108">
      <c r="B1232" s="1896">
        <v>1</v>
      </c>
      <c r="C1232" s="1465" t="s">
        <v>1851</v>
      </c>
      <c r="D1232" s="1466"/>
      <c r="E1232" s="1466"/>
      <c r="F1232" s="1931"/>
      <c r="M1232" s="1349"/>
    </row>
    <row r="1233" spans="2:13" ht="144">
      <c r="B1233" s="1896" t="s">
        <v>113</v>
      </c>
      <c r="C1233" s="1467" t="s">
        <v>1852</v>
      </c>
      <c r="D1233" s="1466"/>
      <c r="E1233" s="1466"/>
      <c r="F1233" s="1931"/>
      <c r="M1233" s="1349"/>
    </row>
    <row r="1234" spans="2:13">
      <c r="B1234" s="1896"/>
      <c r="C1234" s="1468" t="s">
        <v>1853</v>
      </c>
      <c r="D1234" s="1931"/>
      <c r="E1234" s="1931"/>
      <c r="F1234" s="2171"/>
      <c r="M1234" s="1349"/>
    </row>
    <row r="1235" spans="2:13">
      <c r="B1235" s="1896"/>
      <c r="C1235" s="1468" t="s">
        <v>1854</v>
      </c>
      <c r="D1235" s="1931"/>
      <c r="E1235" s="1931"/>
      <c r="F1235" s="2171"/>
      <c r="M1235" s="1349"/>
    </row>
    <row r="1236" spans="2:13">
      <c r="B1236" s="1896"/>
      <c r="C1236" s="1468" t="s">
        <v>1855</v>
      </c>
      <c r="D1236" s="1931"/>
      <c r="E1236" s="1931"/>
      <c r="F1236" s="2171"/>
      <c r="M1236" s="1349"/>
    </row>
    <row r="1237" spans="2:13">
      <c r="B1237" s="1896"/>
      <c r="C1237" s="1468" t="s">
        <v>1856</v>
      </c>
      <c r="D1237" s="1931"/>
      <c r="E1237" s="1931"/>
      <c r="F1237" s="2171"/>
      <c r="M1237" s="1349"/>
    </row>
    <row r="1238" spans="2:13" ht="204">
      <c r="B1238" s="1896">
        <v>3</v>
      </c>
      <c r="C1238" s="1465" t="s">
        <v>1857</v>
      </c>
      <c r="D1238" s="1931"/>
      <c r="E1238" s="1931"/>
      <c r="F1238" s="1931"/>
      <c r="M1238" s="1349"/>
    </row>
    <row r="1239" spans="2:13" ht="48">
      <c r="B1239" s="1896">
        <v>4</v>
      </c>
      <c r="C1239" s="1465" t="s">
        <v>1858</v>
      </c>
      <c r="D1239" s="1931"/>
      <c r="E1239" s="1931"/>
      <c r="F1239" s="1931"/>
      <c r="M1239" s="1349"/>
    </row>
    <row r="1240" spans="2:13" ht="24">
      <c r="B1240" s="1896">
        <v>5</v>
      </c>
      <c r="C1240" s="1465" t="s">
        <v>1859</v>
      </c>
      <c r="D1240" s="1931"/>
      <c r="E1240" s="1931"/>
      <c r="F1240" s="1931"/>
      <c r="M1240" s="1349"/>
    </row>
    <row r="1241" spans="2:13" ht="168">
      <c r="B1241" s="1896" t="s">
        <v>824</v>
      </c>
      <c r="C1241" s="1465" t="s">
        <v>1860</v>
      </c>
      <c r="D1241" s="1931"/>
      <c r="E1241" s="1931"/>
      <c r="F1241" s="1931"/>
      <c r="M1241" s="1349"/>
    </row>
    <row r="1242" spans="2:13">
      <c r="M1242" s="1349"/>
    </row>
    <row r="1243" spans="2:13">
      <c r="B1243" s="2025" t="s">
        <v>1814</v>
      </c>
      <c r="C1243" s="2025"/>
      <c r="D1243" s="2025"/>
      <c r="E1243" s="2025"/>
      <c r="F1243" s="2025"/>
      <c r="G1243" s="2025"/>
      <c r="H1243" s="2025"/>
      <c r="I1243" s="2025"/>
      <c r="J1243" s="2025"/>
      <c r="K1243" s="2025"/>
      <c r="M1243" s="1349"/>
    </row>
    <row r="1244" spans="2:13">
      <c r="B1244" s="2026"/>
      <c r="C1244" s="2026"/>
      <c r="D1244" s="2026"/>
      <c r="E1244" s="2026"/>
      <c r="F1244" s="2026"/>
      <c r="G1244" s="2026"/>
      <c r="H1244" s="2026"/>
      <c r="I1244" s="2026"/>
      <c r="J1244" s="2026"/>
      <c r="K1244" s="2026"/>
      <c r="M1244" s="1349"/>
    </row>
    <row r="1245" spans="2:13">
      <c r="B1245" s="2026"/>
      <c r="C1245" s="2026"/>
      <c r="D1245" s="2026"/>
      <c r="E1245" s="2026"/>
      <c r="F1245" s="2026"/>
      <c r="G1245" s="2026"/>
      <c r="H1245" s="2026"/>
      <c r="I1245" s="2026"/>
      <c r="J1245" s="2026"/>
      <c r="K1245" s="2026"/>
      <c r="M1245" s="1349"/>
    </row>
    <row r="1246" spans="2:13">
      <c r="B1246" s="2026"/>
      <c r="C1246" s="2026"/>
      <c r="D1246" s="2026"/>
      <c r="E1246" s="2026"/>
      <c r="F1246" s="2026"/>
      <c r="G1246" s="2026"/>
      <c r="H1246" s="2026"/>
      <c r="I1246" s="2026"/>
      <c r="J1246" s="2026"/>
      <c r="K1246" s="2026"/>
      <c r="M1246" s="1349"/>
    </row>
    <row r="1247" spans="2:13">
      <c r="B1247" s="2025" t="s">
        <v>1861</v>
      </c>
      <c r="C1247" s="2025"/>
      <c r="D1247" s="2025"/>
      <c r="E1247" s="2025"/>
      <c r="F1247" s="2025"/>
      <c r="G1247" s="2025"/>
      <c r="H1247" s="2025"/>
      <c r="I1247" s="2025"/>
      <c r="J1247" s="2025"/>
      <c r="K1247" s="2025"/>
      <c r="M1247" s="1349"/>
    </row>
    <row r="1248" spans="2:13">
      <c r="M1248" s="1349"/>
    </row>
    <row r="1249" spans="2:13" ht="18">
      <c r="B1249" s="2014" t="s">
        <v>2048</v>
      </c>
      <c r="C1249" s="2014"/>
      <c r="D1249" s="2014"/>
      <c r="E1249" s="2014"/>
      <c r="F1249" s="2014"/>
      <c r="G1249" s="2014"/>
      <c r="H1249" s="2014"/>
      <c r="I1249" s="2014"/>
      <c r="J1249" s="2014"/>
      <c r="K1249" s="2014"/>
      <c r="M1249" s="1349"/>
    </row>
    <row r="1250" spans="2:13" ht="18">
      <c r="B1250" s="1889"/>
      <c r="C1250" s="1889"/>
      <c r="D1250" s="1889"/>
      <c r="E1250" s="1889"/>
      <c r="F1250" s="1889"/>
      <c r="G1250" s="1889"/>
      <c r="H1250" s="1889"/>
      <c r="I1250" s="1889"/>
      <c r="J1250" s="1889"/>
      <c r="K1250" s="1889"/>
      <c r="M1250" s="1349"/>
    </row>
    <row r="1251" spans="2:13" ht="186" customHeight="1">
      <c r="B1251" s="2025" t="s">
        <v>2216</v>
      </c>
      <c r="C1251" s="2025"/>
      <c r="D1251" s="2025"/>
      <c r="E1251" s="2025"/>
      <c r="F1251" s="2025"/>
      <c r="G1251" s="2025"/>
      <c r="H1251" s="2025"/>
      <c r="I1251" s="2025"/>
      <c r="J1251" s="2025"/>
      <c r="K1251" s="2025"/>
      <c r="M1251" s="1349"/>
    </row>
    <row r="1252" spans="2:13" ht="18">
      <c r="B1252" s="1889"/>
      <c r="C1252" s="1889"/>
      <c r="D1252" s="1889"/>
      <c r="E1252" s="1889"/>
      <c r="F1252" s="1889"/>
      <c r="G1252" s="1889"/>
      <c r="H1252" s="1889"/>
      <c r="I1252" s="1889"/>
      <c r="J1252" s="1889"/>
      <c r="K1252" s="1889"/>
      <c r="M1252" s="1349"/>
    </row>
    <row r="1253" spans="2:13" ht="45" customHeight="1">
      <c r="B1253" s="2043" t="s">
        <v>2051</v>
      </c>
      <c r="C1253" s="2043"/>
      <c r="D1253" s="2043"/>
      <c r="E1253" s="2043"/>
      <c r="F1253" s="2043"/>
      <c r="G1253" s="2043"/>
      <c r="H1253" s="2043"/>
      <c r="I1253" s="1911"/>
      <c r="J1253" s="1911"/>
      <c r="K1253" s="1911"/>
      <c r="M1253" s="1349"/>
    </row>
    <row r="1254" spans="2:13" ht="18">
      <c r="B1254" s="2033" t="s">
        <v>1867</v>
      </c>
      <c r="C1254" s="2033" t="s">
        <v>232</v>
      </c>
      <c r="D1254" s="2033"/>
      <c r="E1254" s="2033"/>
      <c r="F1254" s="2033" t="s">
        <v>233</v>
      </c>
      <c r="G1254" s="2033"/>
      <c r="H1254" s="2033"/>
      <c r="I1254" s="1889"/>
      <c r="J1254" s="1889"/>
      <c r="K1254" s="1889"/>
      <c r="M1254" s="1349"/>
    </row>
    <row r="1255" spans="2:13" ht="18">
      <c r="B1255" s="2033"/>
      <c r="C1255" s="2033" t="s">
        <v>1868</v>
      </c>
      <c r="D1255" s="2033"/>
      <c r="E1255" s="2033" t="s">
        <v>1869</v>
      </c>
      <c r="F1255" s="2033" t="s">
        <v>1868</v>
      </c>
      <c r="G1255" s="2033"/>
      <c r="H1255" s="2033" t="s">
        <v>1869</v>
      </c>
      <c r="I1255" s="1889"/>
      <c r="J1255" s="1889"/>
      <c r="K1255" s="1889"/>
      <c r="M1255" s="1349"/>
    </row>
    <row r="1256" spans="2:13" ht="51">
      <c r="B1256" s="2033"/>
      <c r="C1256" s="1896" t="s">
        <v>1870</v>
      </c>
      <c r="D1256" s="1896" t="s">
        <v>1871</v>
      </c>
      <c r="E1256" s="2033"/>
      <c r="F1256" s="1896" t="s">
        <v>1870</v>
      </c>
      <c r="G1256" s="1896" t="s">
        <v>1871</v>
      </c>
      <c r="H1256" s="2033"/>
      <c r="I1256" s="1889"/>
      <c r="J1256" s="1889"/>
      <c r="K1256" s="1889"/>
      <c r="M1256" s="1349"/>
    </row>
    <row r="1257" spans="2:13" ht="25.5">
      <c r="B1257" s="2033"/>
      <c r="C1257" s="1896" t="s">
        <v>1419</v>
      </c>
      <c r="D1257" s="1896" t="s">
        <v>285</v>
      </c>
      <c r="E1257" s="1896" t="s">
        <v>892</v>
      </c>
      <c r="F1257" s="1896" t="s">
        <v>1419</v>
      </c>
      <c r="G1257" s="1896" t="s">
        <v>285</v>
      </c>
      <c r="H1257" s="1896" t="s">
        <v>892</v>
      </c>
      <c r="I1257" s="1889"/>
      <c r="J1257" s="1889"/>
      <c r="K1257" s="1889"/>
      <c r="M1257" s="1349"/>
    </row>
    <row r="1258" spans="2:13" ht="18">
      <c r="B1258" s="2034" t="s">
        <v>1872</v>
      </c>
      <c r="C1258" s="2034"/>
      <c r="D1258" s="2034"/>
      <c r="E1258" s="2034"/>
      <c r="F1258" s="2034"/>
      <c r="G1258" s="2034"/>
      <c r="H1258" s="2034"/>
      <c r="I1258" s="1889"/>
      <c r="J1258" s="1889"/>
      <c r="K1258" s="1889"/>
      <c r="M1258" s="1349"/>
    </row>
    <row r="1259" spans="2:13" ht="18">
      <c r="B1259" s="1469">
        <f>F4-1</f>
        <v>2023</v>
      </c>
      <c r="C1259" s="1470"/>
      <c r="D1259" s="1470"/>
      <c r="E1259" s="1470"/>
      <c r="F1259" s="1470"/>
      <c r="G1259" s="1470"/>
      <c r="H1259" s="1470"/>
      <c r="I1259" s="1889"/>
      <c r="J1259" s="1889"/>
      <c r="K1259" s="1889"/>
      <c r="M1259" s="1349"/>
    </row>
    <row r="1260" spans="2:13" ht="18">
      <c r="B1260" s="1763"/>
      <c r="C1260" s="1764"/>
      <c r="D1260" s="1764"/>
      <c r="E1260" s="1764"/>
      <c r="F1260" s="1764"/>
      <c r="G1260" s="1764"/>
      <c r="H1260" s="1764"/>
      <c r="I1260" s="1889"/>
      <c r="J1260" s="1889"/>
      <c r="K1260" s="1889"/>
      <c r="M1260" s="1765"/>
    </row>
    <row r="1261" spans="2:13" ht="18">
      <c r="B1261" s="2014" t="s">
        <v>2047</v>
      </c>
      <c r="C1261" s="2014"/>
      <c r="D1261" s="2014"/>
      <c r="E1261" s="2014"/>
      <c r="F1261" s="2014"/>
      <c r="G1261" s="2014"/>
      <c r="H1261" s="2014"/>
      <c r="I1261" s="2014"/>
      <c r="J1261" s="2014"/>
      <c r="K1261" s="2014"/>
      <c r="M1261" s="1349"/>
    </row>
    <row r="1262" spans="2:13" ht="18">
      <c r="B1262" s="1889"/>
      <c r="C1262" s="1889"/>
      <c r="D1262" s="1889"/>
      <c r="E1262" s="1889"/>
      <c r="F1262" s="1889"/>
      <c r="G1262" s="1889"/>
      <c r="H1262" s="1889"/>
      <c r="I1262" s="1889"/>
      <c r="J1262" s="1889"/>
      <c r="K1262" s="1889"/>
      <c r="M1262" s="1349"/>
    </row>
    <row r="1263" spans="2:13">
      <c r="B1263" s="2025" t="s">
        <v>1862</v>
      </c>
      <c r="C1263" s="2025"/>
      <c r="D1263" s="2025"/>
      <c r="E1263" s="2025"/>
      <c r="F1263" s="2025"/>
      <c r="G1263" s="2025"/>
      <c r="H1263" s="2025"/>
      <c r="I1263" s="2025"/>
      <c r="J1263" s="2025"/>
      <c r="K1263" s="2025"/>
      <c r="M1263" s="1349"/>
    </row>
    <row r="1264" spans="2:13">
      <c r="B1264" s="2026"/>
      <c r="C1264" s="2026"/>
      <c r="D1264" s="2026"/>
      <c r="E1264" s="2026"/>
      <c r="F1264" s="2026"/>
      <c r="G1264" s="2026"/>
      <c r="H1264" s="2026"/>
      <c r="I1264" s="2026"/>
      <c r="J1264" s="2026"/>
      <c r="K1264" s="2026"/>
      <c r="M1264" s="1349"/>
    </row>
    <row r="1265" spans="2:13">
      <c r="B1265" s="2026"/>
      <c r="C1265" s="2026"/>
      <c r="D1265" s="2026"/>
      <c r="E1265" s="2026"/>
      <c r="F1265" s="2026"/>
      <c r="G1265" s="2026"/>
      <c r="H1265" s="2026"/>
      <c r="I1265" s="2026"/>
      <c r="J1265" s="2026"/>
      <c r="K1265" s="2026"/>
      <c r="M1265" s="1349"/>
    </row>
    <row r="1266" spans="2:13">
      <c r="B1266" s="2026"/>
      <c r="C1266" s="2026"/>
      <c r="D1266" s="2026"/>
      <c r="E1266" s="2026"/>
      <c r="F1266" s="2026"/>
      <c r="G1266" s="2026"/>
      <c r="H1266" s="2026"/>
      <c r="I1266" s="2026"/>
      <c r="J1266" s="2026"/>
      <c r="K1266" s="2026"/>
      <c r="M1266" s="1349"/>
    </row>
    <row r="1267" spans="2:13">
      <c r="B1267" s="1893"/>
      <c r="C1267" s="1893"/>
      <c r="D1267" s="1893"/>
      <c r="E1267" s="1893"/>
      <c r="F1267" s="1893"/>
      <c r="G1267" s="1893"/>
      <c r="H1267" s="1893"/>
      <c r="I1267" s="1893"/>
      <c r="J1267" s="1893"/>
      <c r="K1267" s="1893"/>
      <c r="M1267" s="1349"/>
    </row>
    <row r="1268" spans="2:13">
      <c r="B1268" s="1893"/>
      <c r="C1268" s="1893"/>
      <c r="D1268" s="1893"/>
      <c r="E1268" s="1893"/>
      <c r="F1268" s="1893"/>
      <c r="G1268" s="1893"/>
      <c r="H1268" s="1893"/>
      <c r="I1268" s="1893"/>
      <c r="J1268" s="1893"/>
      <c r="K1268" s="1893"/>
      <c r="M1268" s="1349"/>
    </row>
    <row r="1269" spans="2:13" ht="15.75" customHeight="1">
      <c r="B1269" s="2099" t="s">
        <v>1863</v>
      </c>
      <c r="C1269" s="2099"/>
      <c r="D1269" s="2099"/>
      <c r="E1269" s="2099"/>
      <c r="F1269" s="2099"/>
      <c r="G1269" s="2099"/>
      <c r="H1269" s="2099"/>
      <c r="I1269" s="2099"/>
      <c r="J1269" s="2099"/>
      <c r="K1269" s="2099"/>
      <c r="M1269" s="1349"/>
    </row>
    <row r="1270" spans="2:13">
      <c r="M1270" s="1349"/>
    </row>
    <row r="1271" spans="2:13" ht="18">
      <c r="B1271" s="2014" t="s">
        <v>1864</v>
      </c>
      <c r="C1271" s="2014"/>
      <c r="D1271" s="2014"/>
      <c r="E1271" s="2014"/>
      <c r="F1271" s="2014"/>
      <c r="G1271" s="2014"/>
      <c r="H1271" s="2014"/>
      <c r="I1271" s="2014"/>
      <c r="J1271" s="2014"/>
      <c r="K1271" s="2014"/>
      <c r="M1271" s="1349"/>
    </row>
    <row r="1272" spans="2:13">
      <c r="M1272" s="1349"/>
    </row>
    <row r="1273" spans="2:13" ht="33.75" customHeight="1">
      <c r="B1273" s="2025" t="s">
        <v>1865</v>
      </c>
      <c r="C1273" s="2025"/>
      <c r="D1273" s="2025"/>
      <c r="E1273" s="2025"/>
      <c r="F1273" s="2025"/>
      <c r="G1273" s="2025"/>
      <c r="H1273" s="2025"/>
      <c r="I1273" s="2025"/>
      <c r="J1273" s="2025"/>
      <c r="K1273" s="2025"/>
      <c r="M1273" s="1349"/>
    </row>
    <row r="1274" spans="2:13">
      <c r="H1274" s="1910" t="s">
        <v>1848</v>
      </c>
      <c r="M1274" s="1349"/>
    </row>
    <row r="1275" spans="2:13">
      <c r="B1275" s="2033" t="s">
        <v>1867</v>
      </c>
      <c r="C1275" s="2033" t="s">
        <v>232</v>
      </c>
      <c r="D1275" s="2033"/>
      <c r="E1275" s="2033"/>
      <c r="F1275" s="2033" t="s">
        <v>233</v>
      </c>
      <c r="G1275" s="2033"/>
      <c r="H1275" s="2033"/>
      <c r="M1275" s="1349"/>
    </row>
    <row r="1276" spans="2:13">
      <c r="B1276" s="2033"/>
      <c r="C1276" s="2033" t="s">
        <v>1868</v>
      </c>
      <c r="D1276" s="2033"/>
      <c r="E1276" s="2033" t="s">
        <v>1869</v>
      </c>
      <c r="F1276" s="2033" t="s">
        <v>1868</v>
      </c>
      <c r="G1276" s="2033"/>
      <c r="H1276" s="2033" t="s">
        <v>1869</v>
      </c>
      <c r="M1276" s="1349"/>
    </row>
    <row r="1277" spans="2:13" ht="51">
      <c r="B1277" s="2033"/>
      <c r="C1277" s="1896" t="s">
        <v>1870</v>
      </c>
      <c r="D1277" s="1896" t="s">
        <v>1871</v>
      </c>
      <c r="E1277" s="2033"/>
      <c r="F1277" s="1896" t="s">
        <v>1870</v>
      </c>
      <c r="G1277" s="1896" t="s">
        <v>1871</v>
      </c>
      <c r="H1277" s="2033"/>
      <c r="M1277" s="1349"/>
    </row>
    <row r="1278" spans="2:13" ht="25.5">
      <c r="B1278" s="2033"/>
      <c r="C1278" s="1896" t="s">
        <v>1419</v>
      </c>
      <c r="D1278" s="1896" t="s">
        <v>285</v>
      </c>
      <c r="E1278" s="1896" t="s">
        <v>892</v>
      </c>
      <c r="F1278" s="1896" t="s">
        <v>1419</v>
      </c>
      <c r="G1278" s="1896" t="s">
        <v>285</v>
      </c>
      <c r="H1278" s="1896" t="s">
        <v>892</v>
      </c>
      <c r="M1278" s="1349"/>
    </row>
    <row r="1279" spans="2:13">
      <c r="B1279" s="2034" t="s">
        <v>1872</v>
      </c>
      <c r="C1279" s="2034"/>
      <c r="D1279" s="2034"/>
      <c r="E1279" s="2034"/>
      <c r="F1279" s="2034"/>
      <c r="G1279" s="2034"/>
      <c r="H1279" s="2034"/>
      <c r="M1279" s="1349"/>
    </row>
    <row r="1280" spans="2:13">
      <c r="B1280" s="1469">
        <f>'0. Анкета'!C13</f>
        <v>2019</v>
      </c>
      <c r="C1280" s="1470"/>
      <c r="D1280" s="1470"/>
      <c r="E1280" s="1470"/>
      <c r="F1280" s="1470"/>
      <c r="G1280" s="1470"/>
      <c r="H1280" s="1470"/>
      <c r="M1280" s="1349"/>
    </row>
    <row r="1281" spans="2:13">
      <c r="B1281" s="1469">
        <f>B1280+1</f>
        <v>2020</v>
      </c>
      <c r="C1281" s="1470"/>
      <c r="D1281" s="1470"/>
      <c r="E1281" s="1470"/>
      <c r="F1281" s="1470"/>
      <c r="G1281" s="1470"/>
      <c r="H1281" s="1470"/>
      <c r="M1281" s="1349"/>
    </row>
    <row r="1282" spans="2:13">
      <c r="B1282" s="1469">
        <f>B1281+1</f>
        <v>2021</v>
      </c>
      <c r="C1282" s="1470"/>
      <c r="D1282" s="1470"/>
      <c r="E1282" s="1470"/>
      <c r="F1282" s="1470"/>
      <c r="G1282" s="1470"/>
      <c r="H1282" s="1470"/>
      <c r="M1282" s="1349"/>
    </row>
    <row r="1283" spans="2:13">
      <c r="B1283" s="1469">
        <f>B1282+1</f>
        <v>2022</v>
      </c>
      <c r="C1283" s="1470"/>
      <c r="D1283" s="1470"/>
      <c r="E1283" s="1470"/>
      <c r="F1283" s="1470"/>
      <c r="G1283" s="1470"/>
      <c r="H1283" s="1470"/>
      <c r="M1283" s="1349"/>
    </row>
    <row r="1284" spans="2:13">
      <c r="B1284" s="1469">
        <f>B1283+1</f>
        <v>2023</v>
      </c>
      <c r="C1284" s="1470"/>
      <c r="D1284" s="1470"/>
      <c r="E1284" s="1470"/>
      <c r="F1284" s="1470"/>
      <c r="G1284" s="1470"/>
      <c r="H1284" s="1470"/>
      <c r="M1284" s="1349"/>
    </row>
    <row r="1285" spans="2:13">
      <c r="M1285" s="1349"/>
    </row>
    <row r="1286" spans="2:13" ht="18">
      <c r="B1286" s="2014" t="s">
        <v>1873</v>
      </c>
      <c r="C1286" s="2014"/>
      <c r="D1286" s="2014"/>
      <c r="E1286" s="2014"/>
      <c r="F1286" s="2014"/>
      <c r="G1286" s="2014"/>
      <c r="H1286" s="2014"/>
      <c r="I1286" s="2014"/>
      <c r="J1286" s="2014"/>
      <c r="K1286" s="2014"/>
      <c r="M1286" s="1349"/>
    </row>
    <row r="1287" spans="2:13">
      <c r="M1287" s="1349"/>
    </row>
    <row r="1288" spans="2:13" ht="102.75" customHeight="1">
      <c r="B1288" s="2025" t="s">
        <v>2052</v>
      </c>
      <c r="C1288" s="2025"/>
      <c r="D1288" s="2025"/>
      <c r="E1288" s="2025"/>
      <c r="F1288" s="2025"/>
      <c r="G1288" s="2025"/>
      <c r="H1288" s="2025"/>
      <c r="I1288" s="2025"/>
      <c r="J1288" s="2025"/>
      <c r="K1288" s="2025"/>
      <c r="M1288" s="1349"/>
    </row>
    <row r="1289" spans="2:13">
      <c r="B1289" s="2025"/>
      <c r="C1289" s="2025"/>
      <c r="D1289" s="2025"/>
      <c r="E1289" s="2025"/>
      <c r="F1289" s="2025"/>
      <c r="G1289" s="2025"/>
      <c r="H1289" s="2025"/>
      <c r="I1289" s="2025"/>
      <c r="J1289" s="2025"/>
      <c r="K1289" s="2025"/>
      <c r="M1289" s="1349"/>
    </row>
    <row r="1290" spans="2:13" ht="18">
      <c r="B1290" s="2014" t="s">
        <v>2053</v>
      </c>
      <c r="C1290" s="2014"/>
      <c r="D1290" s="2014"/>
      <c r="E1290" s="2014"/>
      <c r="F1290" s="2014"/>
      <c r="G1290" s="2014"/>
      <c r="H1290" s="2014"/>
      <c r="I1290" s="2014"/>
      <c r="J1290" s="2014"/>
      <c r="K1290" s="2014"/>
      <c r="M1290" s="1349"/>
    </row>
    <row r="1291" spans="2:13">
      <c r="B1291" s="2025"/>
      <c r="C1291" s="2025"/>
      <c r="D1291" s="2025"/>
      <c r="E1291" s="2025"/>
      <c r="F1291" s="2025"/>
      <c r="G1291" s="2025"/>
      <c r="H1291" s="2025"/>
      <c r="I1291" s="2025"/>
      <c r="J1291" s="2025"/>
      <c r="K1291" s="2025"/>
      <c r="M1291" s="1349"/>
    </row>
    <row r="1292" spans="2:13" ht="15.75">
      <c r="B1292" s="2016" t="s">
        <v>2054</v>
      </c>
      <c r="C1292" s="2016"/>
      <c r="D1292" s="2016"/>
      <c r="E1292" s="2016"/>
      <c r="F1292" s="2016"/>
      <c r="G1292" s="2016"/>
      <c r="H1292" s="2016"/>
      <c r="I1292" s="2016"/>
      <c r="J1292" s="2016"/>
      <c r="K1292" s="2016"/>
      <c r="M1292" s="1349"/>
    </row>
    <row r="1293" spans="2:13">
      <c r="B1293" s="1911"/>
      <c r="C1293" s="1911"/>
      <c r="D1293" s="1911"/>
      <c r="E1293" s="1911"/>
      <c r="F1293" s="1911"/>
      <c r="G1293" s="1911"/>
      <c r="H1293" s="1911"/>
      <c r="I1293" s="1911"/>
      <c r="J1293" s="1911"/>
      <c r="K1293" s="1910" t="s">
        <v>1866</v>
      </c>
      <c r="M1293" s="1349"/>
    </row>
    <row r="1294" spans="2:13" ht="101.25">
      <c r="B1294" s="2027" t="s">
        <v>12</v>
      </c>
      <c r="C1294" s="2028" t="s">
        <v>2055</v>
      </c>
      <c r="D1294" s="1895" t="s">
        <v>2056</v>
      </c>
      <c r="E1294" s="1895" t="s">
        <v>1384</v>
      </c>
      <c r="F1294" s="1895" t="s">
        <v>1417</v>
      </c>
      <c r="G1294" s="1895" t="s">
        <v>2057</v>
      </c>
      <c r="H1294" s="1895" t="s">
        <v>2133</v>
      </c>
      <c r="I1294" s="1895" t="s">
        <v>256</v>
      </c>
      <c r="J1294" s="1891" t="s">
        <v>2058</v>
      </c>
      <c r="K1294" s="1891" t="s">
        <v>2059</v>
      </c>
      <c r="M1294" s="1349"/>
    </row>
    <row r="1295" spans="2:13">
      <c r="B1295" s="2027"/>
      <c r="C1295" s="2028"/>
      <c r="D1295" s="1895" t="s">
        <v>249</v>
      </c>
      <c r="E1295" s="1895" t="s">
        <v>249</v>
      </c>
      <c r="F1295" s="1895" t="s">
        <v>241</v>
      </c>
      <c r="G1295" s="1895" t="s">
        <v>1419</v>
      </c>
      <c r="H1295" s="1895" t="s">
        <v>285</v>
      </c>
      <c r="I1295" s="1895" t="s">
        <v>892</v>
      </c>
      <c r="J1295" s="1891" t="s">
        <v>600</v>
      </c>
      <c r="K1295" s="1891" t="s">
        <v>600</v>
      </c>
      <c r="M1295" s="1349"/>
    </row>
    <row r="1296" spans="2:13">
      <c r="B1296" s="1683">
        <v>1</v>
      </c>
      <c r="C1296" s="1904">
        <v>2</v>
      </c>
      <c r="D1296" s="1904">
        <v>3</v>
      </c>
      <c r="E1296" s="1904">
        <v>4</v>
      </c>
      <c r="F1296" s="1904">
        <v>5</v>
      </c>
      <c r="G1296" s="1904">
        <v>6</v>
      </c>
      <c r="H1296" s="1904">
        <v>7</v>
      </c>
      <c r="I1296" s="1904">
        <v>8</v>
      </c>
      <c r="J1296" s="1904">
        <v>9</v>
      </c>
      <c r="K1296" s="1904">
        <v>10</v>
      </c>
      <c r="M1296" s="1349"/>
    </row>
    <row r="1297" spans="2:13">
      <c r="B1297" s="2029" t="s">
        <v>234</v>
      </c>
      <c r="C1297" s="2030"/>
      <c r="D1297" s="2031" t="s">
        <v>232</v>
      </c>
      <c r="E1297" s="2031"/>
      <c r="F1297" s="2031"/>
      <c r="G1297" s="2031"/>
      <c r="H1297" s="2031"/>
      <c r="I1297" s="2031"/>
      <c r="J1297" s="2031"/>
      <c r="K1297" s="2031"/>
      <c r="M1297" s="1349"/>
    </row>
    <row r="1298" spans="2:13">
      <c r="B1298" s="2029"/>
      <c r="C1298" s="2030"/>
      <c r="D1298" s="1789"/>
      <c r="E1298" s="1789"/>
      <c r="F1298" s="1789"/>
      <c r="G1298" s="1789"/>
      <c r="H1298" s="1789"/>
      <c r="I1298" s="1789"/>
      <c r="J1298" s="1789"/>
      <c r="K1298" s="1789"/>
      <c r="M1298" s="1349"/>
    </row>
    <row r="1299" spans="2:13">
      <c r="B1299" s="2029"/>
      <c r="C1299" s="2030"/>
      <c r="D1299" s="2031" t="s">
        <v>233</v>
      </c>
      <c r="E1299" s="2031"/>
      <c r="F1299" s="2031"/>
      <c r="G1299" s="2031"/>
      <c r="H1299" s="2031"/>
      <c r="I1299" s="2031"/>
      <c r="J1299" s="2031"/>
      <c r="K1299" s="2031"/>
      <c r="M1299" s="1349"/>
    </row>
    <row r="1300" spans="2:13">
      <c r="B1300" s="2029"/>
      <c r="C1300" s="2030"/>
      <c r="D1300" s="1790"/>
      <c r="E1300" s="1790"/>
      <c r="F1300" s="1790"/>
      <c r="G1300" s="1790"/>
      <c r="H1300" s="1790"/>
      <c r="I1300" s="1790"/>
      <c r="J1300" s="1790"/>
      <c r="K1300" s="1790"/>
      <c r="M1300" s="1349"/>
    </row>
    <row r="1301" spans="2:13">
      <c r="B1301" s="2029"/>
      <c r="C1301" s="2030"/>
      <c r="D1301" s="2032" t="str">
        <f>CONCATENATE($F$4," год")</f>
        <v>2024 год</v>
      </c>
      <c r="E1301" s="2032"/>
      <c r="F1301" s="2032"/>
      <c r="G1301" s="2032"/>
      <c r="H1301" s="2032"/>
      <c r="I1301" s="2032"/>
      <c r="J1301" s="2032"/>
      <c r="K1301" s="2032"/>
      <c r="M1301" s="1349"/>
    </row>
    <row r="1302" spans="2:13">
      <c r="B1302" s="2029"/>
      <c r="C1302" s="2030"/>
      <c r="D1302" s="1790"/>
      <c r="E1302" s="1790"/>
      <c r="F1302" s="1790"/>
      <c r="G1302" s="1790"/>
      <c r="H1302" s="1790"/>
      <c r="I1302" s="1790"/>
      <c r="J1302" s="1790"/>
      <c r="K1302" s="1790"/>
      <c r="M1302" s="1349"/>
    </row>
    <row r="1303" spans="2:13">
      <c r="B1303" s="2029" t="s">
        <v>1438</v>
      </c>
      <c r="C1303" s="2030"/>
      <c r="D1303" s="2031" t="s">
        <v>232</v>
      </c>
      <c r="E1303" s="2031"/>
      <c r="F1303" s="2031"/>
      <c r="G1303" s="2031"/>
      <c r="H1303" s="2031"/>
      <c r="I1303" s="2031"/>
      <c r="J1303" s="2031"/>
      <c r="K1303" s="2031"/>
      <c r="M1303" s="1349"/>
    </row>
    <row r="1304" spans="2:13">
      <c r="B1304" s="2029"/>
      <c r="C1304" s="2030"/>
      <c r="D1304" s="1790"/>
      <c r="E1304" s="1790"/>
      <c r="F1304" s="1790"/>
      <c r="G1304" s="1790"/>
      <c r="H1304" s="1790"/>
      <c r="I1304" s="1790"/>
      <c r="J1304" s="1790"/>
      <c r="K1304" s="1790"/>
      <c r="M1304" s="1349"/>
    </row>
    <row r="1305" spans="2:13">
      <c r="B1305" s="2029"/>
      <c r="C1305" s="2030"/>
      <c r="D1305" s="2031" t="s">
        <v>233</v>
      </c>
      <c r="E1305" s="2031"/>
      <c r="F1305" s="2031"/>
      <c r="G1305" s="2031"/>
      <c r="H1305" s="2031"/>
      <c r="I1305" s="2031"/>
      <c r="J1305" s="2031"/>
      <c r="K1305" s="2031"/>
      <c r="M1305" s="1349"/>
    </row>
    <row r="1306" spans="2:13">
      <c r="B1306" s="2029"/>
      <c r="C1306" s="2030"/>
      <c r="D1306" s="1790"/>
      <c r="E1306" s="1790"/>
      <c r="F1306" s="1790"/>
      <c r="G1306" s="1790"/>
      <c r="H1306" s="1790"/>
      <c r="I1306" s="1790"/>
      <c r="J1306" s="1790"/>
      <c r="K1306" s="1790"/>
      <c r="M1306" s="1349"/>
    </row>
    <row r="1307" spans="2:13">
      <c r="B1307" s="2029"/>
      <c r="C1307" s="2030"/>
      <c r="D1307" s="2032" t="str">
        <f>CONCATENATE($F$4," год")</f>
        <v>2024 год</v>
      </c>
      <c r="E1307" s="2032"/>
      <c r="F1307" s="2032"/>
      <c r="G1307" s="2032"/>
      <c r="H1307" s="2032"/>
      <c r="I1307" s="2032"/>
      <c r="J1307" s="2032"/>
      <c r="K1307" s="2032"/>
      <c r="M1307" s="1349"/>
    </row>
    <row r="1308" spans="2:13">
      <c r="B1308" s="2029"/>
      <c r="C1308" s="2030"/>
      <c r="D1308" s="1790"/>
      <c r="E1308" s="1790"/>
      <c r="F1308" s="1790"/>
      <c r="G1308" s="1790"/>
      <c r="H1308" s="1790"/>
      <c r="I1308" s="1790"/>
      <c r="J1308" s="1790"/>
      <c r="K1308" s="1790"/>
      <c r="M1308" s="1349"/>
    </row>
    <row r="1309" spans="2:13">
      <c r="B1309" s="2029"/>
      <c r="C1309" s="2031" t="s">
        <v>172</v>
      </c>
      <c r="D1309" s="2031" t="s">
        <v>232</v>
      </c>
      <c r="E1309" s="2031"/>
      <c r="F1309" s="2031"/>
      <c r="G1309" s="2031"/>
      <c r="H1309" s="2031"/>
      <c r="I1309" s="2031"/>
      <c r="J1309" s="2031"/>
      <c r="K1309" s="2031"/>
      <c r="M1309" s="1349"/>
    </row>
    <row r="1310" spans="2:13">
      <c r="B1310" s="2029"/>
      <c r="C1310" s="2031"/>
      <c r="D1310" s="1790"/>
      <c r="E1310" s="1790"/>
      <c r="F1310" s="1790"/>
      <c r="G1310" s="1790"/>
      <c r="H1310" s="1790"/>
      <c r="I1310" s="1790"/>
      <c r="J1310" s="1790"/>
      <c r="K1310" s="1790"/>
      <c r="M1310" s="1349"/>
    </row>
    <row r="1311" spans="2:13">
      <c r="B1311" s="2029"/>
      <c r="C1311" s="2031"/>
      <c r="D1311" s="2031" t="s">
        <v>233</v>
      </c>
      <c r="E1311" s="2031"/>
      <c r="F1311" s="2031"/>
      <c r="G1311" s="2031"/>
      <c r="H1311" s="2031"/>
      <c r="I1311" s="2031"/>
      <c r="J1311" s="2031"/>
      <c r="K1311" s="2031"/>
      <c r="M1311" s="1349"/>
    </row>
    <row r="1312" spans="2:13">
      <c r="B1312" s="2029"/>
      <c r="C1312" s="2031"/>
      <c r="D1312" s="1790"/>
      <c r="E1312" s="1790"/>
      <c r="F1312" s="1790"/>
      <c r="G1312" s="1790"/>
      <c r="H1312" s="1790"/>
      <c r="I1312" s="1790"/>
      <c r="J1312" s="1790"/>
      <c r="K1312" s="1790"/>
      <c r="M1312" s="1349"/>
    </row>
    <row r="1313" spans="2:13">
      <c r="B1313" s="2029"/>
      <c r="C1313" s="2031"/>
      <c r="D1313" s="2032" t="str">
        <f>CONCATENATE($F$4," год")</f>
        <v>2024 год</v>
      </c>
      <c r="E1313" s="2032"/>
      <c r="F1313" s="2032"/>
      <c r="G1313" s="2032"/>
      <c r="H1313" s="2032"/>
      <c r="I1313" s="2032"/>
      <c r="J1313" s="2032"/>
      <c r="K1313" s="2032"/>
      <c r="M1313" s="1349"/>
    </row>
    <row r="1314" spans="2:13">
      <c r="B1314" s="2029"/>
      <c r="C1314" s="2031"/>
      <c r="D1314" s="1790"/>
      <c r="E1314" s="1790"/>
      <c r="F1314" s="1790"/>
      <c r="G1314" s="1790"/>
      <c r="H1314" s="1790"/>
      <c r="I1314" s="1790"/>
      <c r="J1314" s="1790"/>
      <c r="K1314" s="1790"/>
      <c r="M1314" s="1349"/>
    </row>
    <row r="1315" spans="2:13">
      <c r="M1315" s="1349"/>
    </row>
    <row r="1316" spans="2:13" ht="57" customHeight="1">
      <c r="B1316" s="2013" t="s">
        <v>2060</v>
      </c>
      <c r="C1316" s="2013"/>
      <c r="D1316" s="2013"/>
      <c r="E1316" s="2013"/>
      <c r="F1316" s="2013"/>
      <c r="G1316" s="2013"/>
      <c r="H1316" s="2013"/>
      <c r="I1316" s="2013"/>
      <c r="J1316" s="2013"/>
      <c r="K1316" s="2013"/>
      <c r="M1316" s="1349"/>
    </row>
    <row r="1317" spans="2:13">
      <c r="M1317" s="1349"/>
    </row>
    <row r="1318" spans="2:13" ht="18">
      <c r="B1318" s="2014" t="s">
        <v>2061</v>
      </c>
      <c r="C1318" s="2014"/>
      <c r="D1318" s="2014"/>
      <c r="E1318" s="2014"/>
      <c r="F1318" s="2014"/>
      <c r="G1318" s="2014"/>
      <c r="H1318" s="2014"/>
      <c r="I1318" s="2014"/>
      <c r="J1318" s="2014"/>
      <c r="K1318" s="2014"/>
      <c r="M1318" s="1349"/>
    </row>
    <row r="1319" spans="2:13">
      <c r="M1319" s="1349"/>
    </row>
    <row r="1320" spans="2:13" ht="32.25" customHeight="1">
      <c r="B1320" s="2013" t="s">
        <v>2062</v>
      </c>
      <c r="C1320" s="2013"/>
      <c r="D1320" s="2013"/>
      <c r="E1320" s="2013"/>
      <c r="F1320" s="2013"/>
      <c r="G1320" s="2013"/>
      <c r="H1320" s="2013"/>
      <c r="I1320" s="2013"/>
      <c r="J1320" s="2013"/>
      <c r="K1320" s="2013"/>
      <c r="M1320" s="1349"/>
    </row>
    <row r="1321" spans="2:13">
      <c r="M1321" s="1349"/>
    </row>
    <row r="1322" spans="2:13">
      <c r="B1322" s="2025" t="s">
        <v>2074</v>
      </c>
      <c r="C1322" s="2025"/>
      <c r="D1322" s="2025"/>
      <c r="E1322" s="2025"/>
      <c r="F1322" s="2025"/>
      <c r="G1322" s="2025"/>
      <c r="H1322" s="2025"/>
      <c r="I1322" s="2025"/>
      <c r="J1322" s="2025"/>
      <c r="K1322" s="2025"/>
      <c r="M1322" s="1349"/>
    </row>
    <row r="1323" spans="2:13">
      <c r="B1323" s="2026"/>
      <c r="C1323" s="2026"/>
      <c r="D1323" s="2026"/>
      <c r="E1323" s="2026"/>
      <c r="F1323" s="2026"/>
      <c r="G1323" s="2026"/>
      <c r="H1323" s="2026"/>
      <c r="I1323" s="2026"/>
      <c r="J1323" s="2026"/>
      <c r="K1323" s="2026"/>
      <c r="M1323" s="1349"/>
    </row>
    <row r="1324" spans="2:13">
      <c r="B1324" s="2026"/>
      <c r="C1324" s="2026"/>
      <c r="D1324" s="2026"/>
      <c r="E1324" s="2026"/>
      <c r="F1324" s="2026"/>
      <c r="G1324" s="2026"/>
      <c r="H1324" s="2026"/>
      <c r="I1324" s="2026"/>
      <c r="J1324" s="2026"/>
      <c r="K1324" s="2026"/>
      <c r="M1324" s="1349"/>
    </row>
    <row r="1325" spans="2:13">
      <c r="B1325" s="2026"/>
      <c r="C1325" s="2026"/>
      <c r="D1325" s="2026"/>
      <c r="E1325" s="2026"/>
      <c r="F1325" s="2026"/>
      <c r="G1325" s="2026"/>
      <c r="H1325" s="2026"/>
      <c r="I1325" s="2026"/>
      <c r="J1325" s="2026"/>
      <c r="K1325" s="2026"/>
      <c r="M1325" s="1349"/>
    </row>
    <row r="1326" spans="2:13">
      <c r="M1326" s="1349"/>
    </row>
    <row r="1327" spans="2:13" ht="18">
      <c r="B1327" s="2014" t="s">
        <v>2075</v>
      </c>
      <c r="C1327" s="2014"/>
      <c r="D1327" s="2014"/>
      <c r="E1327" s="2014"/>
      <c r="F1327" s="2014"/>
      <c r="G1327" s="2014"/>
      <c r="H1327" s="2014"/>
      <c r="I1327" s="2014"/>
      <c r="J1327" s="2014"/>
      <c r="K1327" s="2014"/>
      <c r="M1327" s="1349"/>
    </row>
    <row r="1328" spans="2:13" ht="15.75">
      <c r="B1328" s="2015" t="s">
        <v>2076</v>
      </c>
      <c r="C1328" s="2015"/>
      <c r="D1328" s="2015"/>
      <c r="E1328" s="2015"/>
      <c r="F1328" s="2015"/>
      <c r="G1328" s="2015"/>
      <c r="H1328" s="2015"/>
      <c r="I1328" s="2015"/>
      <c r="J1328" s="2015"/>
      <c r="K1328" s="2015"/>
      <c r="M1328" s="1349"/>
    </row>
    <row r="1329" spans="2:13" ht="61.5" customHeight="1">
      <c r="B1329" s="2013" t="s">
        <v>2077</v>
      </c>
      <c r="C1329" s="2013"/>
      <c r="D1329" s="2013"/>
      <c r="E1329" s="2013"/>
      <c r="F1329" s="2013"/>
      <c r="G1329" s="2013"/>
      <c r="H1329" s="2013"/>
      <c r="I1329" s="2013"/>
      <c r="J1329" s="2013"/>
      <c r="K1329" s="2013"/>
      <c r="M1329" s="1349"/>
    </row>
    <row r="1330" spans="2:13">
      <c r="M1330" s="1349"/>
    </row>
    <row r="1331" spans="2:13" ht="15.75" customHeight="1">
      <c r="B1331" s="2016" t="s">
        <v>2078</v>
      </c>
      <c r="C1331" s="2016"/>
      <c r="D1331" s="2016"/>
      <c r="E1331" s="2016"/>
      <c r="F1331" s="2016"/>
      <c r="G1331" s="1784"/>
      <c r="H1331" s="1784"/>
      <c r="I1331" s="1784"/>
      <c r="J1331" s="1784"/>
      <c r="K1331" s="1784"/>
      <c r="M1331" s="1349"/>
    </row>
    <row r="1332" spans="2:13">
      <c r="F1332" s="1910" t="s">
        <v>2084</v>
      </c>
      <c r="M1332" s="1349"/>
    </row>
    <row r="1333" spans="2:13">
      <c r="B1333" s="2022" t="s">
        <v>12</v>
      </c>
      <c r="C1333" s="2023" t="s">
        <v>1242</v>
      </c>
      <c r="D1333" s="2024" t="str">
        <f>CONCATENATE($F$4," год")</f>
        <v>2024 год</v>
      </c>
      <c r="E1333" s="2024"/>
      <c r="F1333" s="2024"/>
      <c r="M1333" s="1349"/>
    </row>
    <row r="1334" spans="2:13" ht="22.5">
      <c r="B1334" s="2022"/>
      <c r="C1334" s="2023"/>
      <c r="D1334" s="1892" t="s">
        <v>1330</v>
      </c>
      <c r="E1334" s="1892" t="s">
        <v>1290</v>
      </c>
      <c r="F1334" s="1785" t="s">
        <v>263</v>
      </c>
      <c r="M1334" s="1349"/>
    </row>
    <row r="1335" spans="2:13">
      <c r="B1335" s="1904">
        <v>1</v>
      </c>
      <c r="C1335" s="1904">
        <v>2</v>
      </c>
      <c r="D1335" s="1904">
        <v>3</v>
      </c>
      <c r="E1335" s="1904">
        <v>4</v>
      </c>
      <c r="F1335" s="1786" t="s">
        <v>1443</v>
      </c>
      <c r="M1335" s="1349"/>
    </row>
    <row r="1336" spans="2:13">
      <c r="B1336" s="1891" t="s">
        <v>234</v>
      </c>
      <c r="C1336" s="1787" t="s">
        <v>2079</v>
      </c>
      <c r="D1336" s="1978">
        <f>D1337+D1339</f>
        <v>0</v>
      </c>
      <c r="E1336" s="1978">
        <f>E1337+E1339</f>
        <v>0</v>
      </c>
      <c r="F1336" s="1977">
        <f>IFERROR(E1336-D1336,"-")</f>
        <v>0</v>
      </c>
      <c r="M1336" s="1349"/>
    </row>
    <row r="1337" spans="2:13">
      <c r="B1337" s="1891" t="s">
        <v>267</v>
      </c>
      <c r="C1337" s="1787" t="s">
        <v>2080</v>
      </c>
      <c r="D1337" s="1791"/>
      <c r="E1337" s="1791"/>
      <c r="F1337" s="1976">
        <f>IFERROR(E1337-D1337,"-")</f>
        <v>0</v>
      </c>
      <c r="M1337" s="1349"/>
    </row>
    <row r="1338" spans="2:13">
      <c r="B1338" s="1891" t="s">
        <v>608</v>
      </c>
      <c r="C1338" s="1788" t="s">
        <v>2081</v>
      </c>
      <c r="D1338" s="1792"/>
      <c r="E1338" s="1792"/>
      <c r="F1338" s="1976">
        <f>IFERROR(E1338-D1338,"-")</f>
        <v>0</v>
      </c>
      <c r="M1338" s="1349"/>
    </row>
    <row r="1339" spans="2:13" ht="22.5">
      <c r="B1339" s="1891" t="s">
        <v>269</v>
      </c>
      <c r="C1339" s="1787" t="s">
        <v>2082</v>
      </c>
      <c r="D1339" s="1791"/>
      <c r="E1339" s="1791"/>
      <c r="F1339" s="1976">
        <f>IFERROR(E1339-D1339,"-")</f>
        <v>0</v>
      </c>
      <c r="M1339" s="1349"/>
    </row>
    <row r="1340" spans="2:13" ht="22.5">
      <c r="B1340" s="1891" t="s">
        <v>1339</v>
      </c>
      <c r="C1340" s="1788" t="s">
        <v>2083</v>
      </c>
      <c r="D1340" s="1792"/>
      <c r="E1340" s="1792"/>
      <c r="F1340" s="1976">
        <f>IFERROR(E1340-D1340,"-")</f>
        <v>0</v>
      </c>
      <c r="M1340" s="1349"/>
    </row>
    <row r="1341" spans="2:13">
      <c r="M1341" s="1349"/>
    </row>
    <row r="1342" spans="2:13" ht="19.5" customHeight="1">
      <c r="B1342" s="2013" t="s">
        <v>2085</v>
      </c>
      <c r="C1342" s="2013"/>
      <c r="D1342" s="2013"/>
      <c r="E1342" s="2013"/>
      <c r="F1342" s="2013"/>
      <c r="G1342" s="2013"/>
      <c r="H1342" s="2013"/>
      <c r="I1342" s="2013"/>
      <c r="J1342" s="2013"/>
      <c r="K1342" s="2013"/>
      <c r="M1342" s="1349"/>
    </row>
    <row r="1343" spans="2:13" ht="15.75" customHeight="1">
      <c r="B1343" s="2016" t="s">
        <v>1134</v>
      </c>
      <c r="C1343" s="2016"/>
      <c r="D1343" s="2016"/>
      <c r="E1343" s="2016"/>
      <c r="F1343" s="2016"/>
      <c r="G1343" s="2016"/>
      <c r="H1343" s="2016"/>
      <c r="I1343" s="2016"/>
      <c r="J1343" s="1784"/>
      <c r="K1343" s="1784"/>
      <c r="M1343" s="1349"/>
    </row>
    <row r="1344" spans="2:13">
      <c r="I1344" s="1910" t="s">
        <v>2088</v>
      </c>
      <c r="M1344" s="1349"/>
    </row>
    <row r="1345" spans="2:13" ht="15.75">
      <c r="B1345" s="1801" t="s">
        <v>12</v>
      </c>
      <c r="C1345" s="1801" t="s">
        <v>954</v>
      </c>
      <c r="D1345" s="1801" t="s">
        <v>262</v>
      </c>
      <c r="E1345" s="1802" t="s">
        <v>172</v>
      </c>
      <c r="F1345" s="1801" t="s">
        <v>168</v>
      </c>
      <c r="G1345" s="1801" t="s">
        <v>208</v>
      </c>
      <c r="H1345" s="1801" t="s">
        <v>209</v>
      </c>
      <c r="I1345" s="1801" t="s">
        <v>171</v>
      </c>
      <c r="M1345" s="1349"/>
    </row>
    <row r="1346" spans="2:13">
      <c r="B1346" s="1885">
        <v>1</v>
      </c>
      <c r="C1346" s="1885">
        <v>2</v>
      </c>
      <c r="D1346" s="1885">
        <v>3</v>
      </c>
      <c r="E1346" s="1885">
        <v>4</v>
      </c>
      <c r="F1346" s="1885">
        <v>5</v>
      </c>
      <c r="G1346" s="1885">
        <v>6</v>
      </c>
      <c r="H1346" s="1885">
        <v>7</v>
      </c>
      <c r="I1346" s="1885">
        <v>8</v>
      </c>
      <c r="M1346" s="1349"/>
    </row>
    <row r="1347" spans="2:13" ht="15.75">
      <c r="B1347" s="2021" t="s">
        <v>232</v>
      </c>
      <c r="C1347" s="2021"/>
      <c r="D1347" s="2021"/>
      <c r="E1347" s="2021"/>
      <c r="F1347" s="2021"/>
      <c r="G1347" s="2021"/>
      <c r="H1347" s="2021"/>
      <c r="I1347" s="2021"/>
      <c r="M1347" s="1349"/>
    </row>
    <row r="1348" spans="2:13" ht="31.5">
      <c r="B1348" s="1807" t="s">
        <v>234</v>
      </c>
      <c r="C1348" s="1808" t="s">
        <v>1135</v>
      </c>
      <c r="D1348" s="1809" t="s">
        <v>1419</v>
      </c>
      <c r="E1348" s="1975" t="e">
        <f>(SUMPRODUCT(F1348:I1348,F1363:I1363)/E1363)</f>
        <v>#DIV/0!</v>
      </c>
      <c r="F1348" s="1975">
        <f>IF(SUM(F1350:F1351)=0,0,(F1349/SUM(F1350:F1351))/6*1000)</f>
        <v>0</v>
      </c>
      <c r="G1348" s="1975" t="e">
        <f>((F1348*F1352*6/1000+G1349)/SUM(G1350:G1351))/6*1000</f>
        <v>#DIV/0!</v>
      </c>
      <c r="H1348" s="1975" t="e">
        <f>((SUMPRODUCT(F1348:G1348,F1353:G1353)*6/1000+H1349)/SUM(H1350:H1351))/6*1000</f>
        <v>#DIV/0!</v>
      </c>
      <c r="I1348" s="1975" t="e">
        <f>(((SUMPRODUCT(F1348:H1348,F1354:H1354)*6/1000+I1349)/SUM(I1350:I1351))/6*1000)</f>
        <v>#DIV/0!</v>
      </c>
      <c r="M1348" s="1349"/>
    </row>
    <row r="1349" spans="2:13" ht="31.5">
      <c r="B1349" s="1552" t="s">
        <v>267</v>
      </c>
      <c r="C1349" s="1794" t="s">
        <v>1137</v>
      </c>
      <c r="D1349" s="1795" t="s">
        <v>600</v>
      </c>
      <c r="E1349" s="1796">
        <f>SUM(F1349:I1349)</f>
        <v>0</v>
      </c>
      <c r="F1349" s="1804"/>
      <c r="G1349" s="1804"/>
      <c r="H1349" s="1804"/>
      <c r="I1349" s="1804"/>
      <c r="M1349" s="1349"/>
    </row>
    <row r="1350" spans="2:13" ht="15.75">
      <c r="B1350" s="1511" t="s">
        <v>269</v>
      </c>
      <c r="C1350" s="1797" t="s">
        <v>1138</v>
      </c>
      <c r="D1350" s="1798" t="s">
        <v>241</v>
      </c>
      <c r="E1350" s="1973">
        <f>SUM(F1350:I1350)</f>
        <v>0</v>
      </c>
      <c r="F1350" s="1803"/>
      <c r="G1350" s="1803"/>
      <c r="H1350" s="1803"/>
      <c r="I1350" s="1803"/>
      <c r="M1350" s="1806" t="s">
        <v>2089</v>
      </c>
    </row>
    <row r="1351" spans="2:13" ht="30">
      <c r="B1351" s="1511" t="s">
        <v>270</v>
      </c>
      <c r="C1351" s="1797" t="s">
        <v>1139</v>
      </c>
      <c r="D1351" s="1798" t="s">
        <v>241</v>
      </c>
      <c r="E1351" s="1511"/>
      <c r="F1351" s="1974">
        <f>SUM(F1352:F1354)</f>
        <v>0</v>
      </c>
      <c r="G1351" s="1974">
        <f>SUM(G1352:G1354)</f>
        <v>0</v>
      </c>
      <c r="H1351" s="1974">
        <f>SUM(H1352:H1354)</f>
        <v>0</v>
      </c>
      <c r="I1351" s="1511"/>
      <c r="M1351" s="1349"/>
    </row>
    <row r="1352" spans="2:13">
      <c r="B1352" s="1511" t="s">
        <v>272</v>
      </c>
      <c r="C1352" s="1799" t="s">
        <v>208</v>
      </c>
      <c r="D1352" s="1798" t="s">
        <v>241</v>
      </c>
      <c r="E1352" s="1511"/>
      <c r="F1352" s="1803"/>
      <c r="G1352" s="1511"/>
      <c r="H1352" s="1511"/>
      <c r="I1352" s="1511"/>
      <c r="M1352" s="1349"/>
    </row>
    <row r="1353" spans="2:13">
      <c r="B1353" s="1511" t="s">
        <v>277</v>
      </c>
      <c r="C1353" s="1799" t="s">
        <v>209</v>
      </c>
      <c r="D1353" s="1798" t="s">
        <v>241</v>
      </c>
      <c r="E1353" s="1511"/>
      <c r="F1353" s="1803"/>
      <c r="G1353" s="1803"/>
      <c r="H1353" s="1511"/>
      <c r="I1353" s="1511"/>
      <c r="M1353" s="1349"/>
    </row>
    <row r="1354" spans="2:13">
      <c r="B1354" s="1511" t="s">
        <v>279</v>
      </c>
      <c r="C1354" s="1799" t="s">
        <v>171</v>
      </c>
      <c r="D1354" s="1798" t="s">
        <v>241</v>
      </c>
      <c r="E1354" s="1511"/>
      <c r="F1354" s="1511"/>
      <c r="G1354" s="1803"/>
      <c r="H1354" s="1803"/>
      <c r="I1354" s="1511"/>
      <c r="M1354" s="1349"/>
    </row>
    <row r="1355" spans="2:13" ht="31.5">
      <c r="B1355" s="1807" t="s">
        <v>237</v>
      </c>
      <c r="C1355" s="1808" t="s">
        <v>1140</v>
      </c>
      <c r="D1355" s="1809" t="s">
        <v>285</v>
      </c>
      <c r="E1355" s="1975">
        <f>IF(E1365=0,0,SUMPRODUCT(F1355:I1355,F1365:I1365)/E1365)</f>
        <v>0</v>
      </c>
      <c r="F1355" s="1975" t="e">
        <f>(F1356/SUM(F1357:F1358))</f>
        <v>#DIV/0!</v>
      </c>
      <c r="G1355" s="1975" t="e">
        <f>((F1355*F1359+G1356)/SUM(G1357:G1358))</f>
        <v>#DIV/0!</v>
      </c>
      <c r="H1355" s="1975" t="e">
        <f>((SUMPRODUCT(F1355:G1355,F1360:G1360)+H1356)/SUM(H1357:H1358))</f>
        <v>#DIV/0!</v>
      </c>
      <c r="I1355" s="1975" t="e">
        <f>((SUMPRODUCT(F1355:H1355,F1361:H1361)+I1356)/SUM(I1357:I1358))</f>
        <v>#DIV/0!</v>
      </c>
      <c r="M1355" s="1349"/>
    </row>
    <row r="1356" spans="2:13" ht="31.5">
      <c r="B1356" s="1552" t="s">
        <v>520</v>
      </c>
      <c r="C1356" s="1794" t="s">
        <v>1142</v>
      </c>
      <c r="D1356" s="1795" t="s">
        <v>600</v>
      </c>
      <c r="E1356" s="1796">
        <f>SUM(F1356:I1356)</f>
        <v>0</v>
      </c>
      <c r="F1356" s="1804"/>
      <c r="G1356" s="1804"/>
      <c r="H1356" s="1804"/>
      <c r="I1356" s="1804"/>
      <c r="M1356" s="1349"/>
    </row>
    <row r="1357" spans="2:13" ht="30">
      <c r="B1357" s="1511" t="s">
        <v>527</v>
      </c>
      <c r="C1357" s="1797" t="s">
        <v>1143</v>
      </c>
      <c r="D1357" s="1798" t="s">
        <v>249</v>
      </c>
      <c r="E1357" s="1973">
        <f>SUM(F1357:I1357)</f>
        <v>0</v>
      </c>
      <c r="F1357" s="1803"/>
      <c r="G1357" s="1803"/>
      <c r="H1357" s="1803"/>
      <c r="I1357" s="1803"/>
      <c r="M1357" s="1349"/>
    </row>
    <row r="1358" spans="2:13" ht="30">
      <c r="B1358" s="1511" t="s">
        <v>533</v>
      </c>
      <c r="C1358" s="1797" t="s">
        <v>1139</v>
      </c>
      <c r="D1358" s="1798" t="s">
        <v>249</v>
      </c>
      <c r="E1358" s="1511"/>
      <c r="F1358" s="1974">
        <f>SUM(F1359:F1361)</f>
        <v>0</v>
      </c>
      <c r="G1358" s="1974">
        <f>SUM(G1359:G1361)</f>
        <v>0</v>
      </c>
      <c r="H1358" s="1974">
        <f>SUM(H1359:H1361)</f>
        <v>0</v>
      </c>
      <c r="I1358" s="1511"/>
      <c r="M1358" s="1349"/>
    </row>
    <row r="1359" spans="2:13">
      <c r="B1359" s="1511" t="s">
        <v>535</v>
      </c>
      <c r="C1359" s="1799" t="s">
        <v>208</v>
      </c>
      <c r="D1359" s="1798" t="s">
        <v>249</v>
      </c>
      <c r="E1359" s="1511"/>
      <c r="F1359" s="1803"/>
      <c r="G1359" s="1511"/>
      <c r="H1359" s="1511"/>
      <c r="I1359" s="1511"/>
      <c r="M1359" s="1349"/>
    </row>
    <row r="1360" spans="2:13">
      <c r="B1360" s="1511" t="s">
        <v>2086</v>
      </c>
      <c r="C1360" s="1799" t="s">
        <v>209</v>
      </c>
      <c r="D1360" s="1798" t="s">
        <v>249</v>
      </c>
      <c r="E1360" s="1511"/>
      <c r="F1360" s="1803"/>
      <c r="G1360" s="1803"/>
      <c r="H1360" s="1511"/>
      <c r="I1360" s="1511"/>
      <c r="M1360" s="1349"/>
    </row>
    <row r="1361" spans="2:13">
      <c r="B1361" s="1511" t="s">
        <v>2087</v>
      </c>
      <c r="C1361" s="1799" t="s">
        <v>171</v>
      </c>
      <c r="D1361" s="1798" t="s">
        <v>249</v>
      </c>
      <c r="E1361" s="1511"/>
      <c r="F1361" s="1511"/>
      <c r="G1361" s="1803"/>
      <c r="H1361" s="1803"/>
      <c r="I1361" s="1511"/>
      <c r="M1361" s="1349"/>
    </row>
    <row r="1362" spans="2:13" ht="15.75">
      <c r="B1362" s="1807" t="s">
        <v>239</v>
      </c>
      <c r="C1362" s="1808" t="s">
        <v>256</v>
      </c>
      <c r="D1362" s="1809" t="s">
        <v>285</v>
      </c>
      <c r="E1362" s="1805"/>
      <c r="F1362" s="1975">
        <f>IF(F1365=0,0,(F1348*F1363*6/1000+F1355*F1365)/F1365)</f>
        <v>0</v>
      </c>
      <c r="G1362" s="1975">
        <f>IF(G1365=0,0,(G1348*G1363*6/1000+G1355*G1365)/G1365)</f>
        <v>0</v>
      </c>
      <c r="H1362" s="1975">
        <f>IF(H1365=0,0,(H1348*H1363*6/1000+H1355*H1365)/H1365)</f>
        <v>0</v>
      </c>
      <c r="I1362" s="1975">
        <f>IF(I1365=0,0,(I1348*I1363*6/1000+I1355*I1365)/I1365)</f>
        <v>0</v>
      </c>
      <c r="M1362" s="1349"/>
    </row>
    <row r="1363" spans="2:13" ht="30">
      <c r="B1363" s="1511" t="s">
        <v>242</v>
      </c>
      <c r="C1363" s="1800" t="s">
        <v>1145</v>
      </c>
      <c r="D1363" s="1798" t="s">
        <v>241</v>
      </c>
      <c r="E1363" s="1973">
        <f>SUM(F1363:I1363)</f>
        <v>0</v>
      </c>
      <c r="F1363" s="1974">
        <f>F1350</f>
        <v>0</v>
      </c>
      <c r="G1363" s="1974">
        <f>G1350</f>
        <v>0</v>
      </c>
      <c r="H1363" s="1974">
        <f>H1350</f>
        <v>0</v>
      </c>
      <c r="I1363" s="1974">
        <f>I1350</f>
        <v>0</v>
      </c>
      <c r="M1363" s="1349"/>
    </row>
    <row r="1364" spans="2:13">
      <c r="B1364" s="1511" t="s">
        <v>899</v>
      </c>
      <c r="C1364" s="1800" t="s">
        <v>1146</v>
      </c>
      <c r="D1364" s="1798" t="s">
        <v>241</v>
      </c>
      <c r="E1364" s="1973">
        <f>SUM(F1364:I1364)</f>
        <v>0</v>
      </c>
      <c r="F1364" s="1803"/>
      <c r="G1364" s="1803"/>
      <c r="H1364" s="1803"/>
      <c r="I1364" s="1803"/>
      <c r="M1364" s="1349"/>
    </row>
    <row r="1365" spans="2:13" ht="30">
      <c r="B1365" s="1511" t="s">
        <v>860</v>
      </c>
      <c r="C1365" s="1800" t="s">
        <v>1147</v>
      </c>
      <c r="D1365" s="1798" t="s">
        <v>249</v>
      </c>
      <c r="E1365" s="1973">
        <f>SUM(F1365:I1365)</f>
        <v>0</v>
      </c>
      <c r="F1365" s="1974">
        <f>F1357</f>
        <v>0</v>
      </c>
      <c r="G1365" s="1974">
        <f>G1357</f>
        <v>0</v>
      </c>
      <c r="H1365" s="1974">
        <f>H1357</f>
        <v>0</v>
      </c>
      <c r="I1365" s="1974">
        <f>I1357</f>
        <v>0</v>
      </c>
      <c r="M1365" s="1349"/>
    </row>
    <row r="1366" spans="2:13">
      <c r="B1366" s="1511" t="s">
        <v>862</v>
      </c>
      <c r="C1366" s="1800" t="s">
        <v>1148</v>
      </c>
      <c r="D1366" s="1798" t="s">
        <v>249</v>
      </c>
      <c r="E1366" s="1973">
        <f>SUM(F1366:I1366)</f>
        <v>0</v>
      </c>
      <c r="F1366" s="1803"/>
      <c r="G1366" s="1803"/>
      <c r="H1366" s="1803"/>
      <c r="I1366" s="1803"/>
      <c r="M1366" s="1349"/>
    </row>
    <row r="1367" spans="2:13" ht="15.75">
      <c r="B1367" s="2020" t="s">
        <v>233</v>
      </c>
      <c r="C1367" s="2020"/>
      <c r="D1367" s="2020"/>
      <c r="E1367" s="2020"/>
      <c r="F1367" s="2020"/>
      <c r="G1367" s="2020"/>
      <c r="H1367" s="2020"/>
      <c r="I1367" s="2020"/>
      <c r="M1367" s="1349"/>
    </row>
    <row r="1368" spans="2:13" ht="31.5">
      <c r="B1368" s="1807" t="s">
        <v>234</v>
      </c>
      <c r="C1368" s="1808" t="s">
        <v>1135</v>
      </c>
      <c r="D1368" s="1809" t="s">
        <v>1419</v>
      </c>
      <c r="E1368" s="1975" t="e">
        <f>(SUMPRODUCT(F1368:I1368,F1383:I1383)/E1383)</f>
        <v>#DIV/0!</v>
      </c>
      <c r="F1368" s="1975">
        <f>IF(SUM(F1370:F1371)=0,0,(F1369/SUM(F1370:F1371))/6*1000)</f>
        <v>0</v>
      </c>
      <c r="G1368" s="1975" t="e">
        <f>((F1368*F1372*6/1000+G1369)/SUM(G1370:G1371))/6*1000</f>
        <v>#DIV/0!</v>
      </c>
      <c r="H1368" s="1975" t="e">
        <f>((SUMPRODUCT(F1368:G1368,F1373:G1373)*6/1000+H1369)/SUM(H1370:H1371))/6*1000</f>
        <v>#DIV/0!</v>
      </c>
      <c r="I1368" s="1975" t="e">
        <f>(((SUMPRODUCT(F1368:H1368,F1374:H1374)*6/1000+I1369)/SUM(I1370:I1371))/6*1000)</f>
        <v>#DIV/0!</v>
      </c>
      <c r="M1368" s="1349"/>
    </row>
    <row r="1369" spans="2:13" ht="31.5">
      <c r="B1369" s="1552" t="s">
        <v>267</v>
      </c>
      <c r="C1369" s="1794" t="s">
        <v>1137</v>
      </c>
      <c r="D1369" s="1795" t="s">
        <v>600</v>
      </c>
      <c r="E1369" s="1796">
        <f>SUM(F1369:I1369)</f>
        <v>0</v>
      </c>
      <c r="F1369" s="1804"/>
      <c r="G1369" s="1804"/>
      <c r="H1369" s="1804"/>
      <c r="I1369" s="1804"/>
      <c r="M1369" s="1349"/>
    </row>
    <row r="1370" spans="2:13">
      <c r="B1370" s="1511" t="s">
        <v>269</v>
      </c>
      <c r="C1370" s="1797" t="s">
        <v>1138</v>
      </c>
      <c r="D1370" s="1798" t="s">
        <v>241</v>
      </c>
      <c r="E1370" s="1973">
        <f>SUM(F1370:I1370)</f>
        <v>0</v>
      </c>
      <c r="F1370" s="1803"/>
      <c r="G1370" s="1803"/>
      <c r="H1370" s="1803"/>
      <c r="I1370" s="1803"/>
      <c r="M1370" s="1349"/>
    </row>
    <row r="1371" spans="2:13" ht="30">
      <c r="B1371" s="1511" t="s">
        <v>270</v>
      </c>
      <c r="C1371" s="1797" t="s">
        <v>1139</v>
      </c>
      <c r="D1371" s="1798" t="s">
        <v>241</v>
      </c>
      <c r="E1371" s="1511"/>
      <c r="F1371" s="1974">
        <f>SUM(F1372:F1374)</f>
        <v>0</v>
      </c>
      <c r="G1371" s="1974">
        <f>SUM(G1372:G1374)</f>
        <v>0</v>
      </c>
      <c r="H1371" s="1974">
        <f>SUM(H1372:H1374)</f>
        <v>0</v>
      </c>
      <c r="I1371" s="1511"/>
      <c r="M1371" s="1349"/>
    </row>
    <row r="1372" spans="2:13">
      <c r="B1372" s="1511" t="s">
        <v>272</v>
      </c>
      <c r="C1372" s="1799" t="s">
        <v>208</v>
      </c>
      <c r="D1372" s="1798" t="s">
        <v>241</v>
      </c>
      <c r="E1372" s="1511"/>
      <c r="F1372" s="1803"/>
      <c r="G1372" s="1511"/>
      <c r="H1372" s="1511"/>
      <c r="I1372" s="1511"/>
      <c r="M1372" s="1349"/>
    </row>
    <row r="1373" spans="2:13">
      <c r="B1373" s="1511" t="s">
        <v>277</v>
      </c>
      <c r="C1373" s="1799" t="s">
        <v>209</v>
      </c>
      <c r="D1373" s="1798" t="s">
        <v>241</v>
      </c>
      <c r="E1373" s="1511"/>
      <c r="F1373" s="1803"/>
      <c r="G1373" s="1803"/>
      <c r="H1373" s="1511"/>
      <c r="I1373" s="1511"/>
      <c r="M1373" s="1349"/>
    </row>
    <row r="1374" spans="2:13">
      <c r="B1374" s="1511" t="s">
        <v>279</v>
      </c>
      <c r="C1374" s="1799" t="s">
        <v>171</v>
      </c>
      <c r="D1374" s="1798" t="s">
        <v>241</v>
      </c>
      <c r="E1374" s="1511"/>
      <c r="F1374" s="1511"/>
      <c r="G1374" s="1803"/>
      <c r="H1374" s="1803"/>
      <c r="I1374" s="1511"/>
      <c r="M1374" s="1349"/>
    </row>
    <row r="1375" spans="2:13" ht="31.5">
      <c r="B1375" s="1807" t="s">
        <v>237</v>
      </c>
      <c r="C1375" s="1808" t="s">
        <v>1140</v>
      </c>
      <c r="D1375" s="1809" t="s">
        <v>285</v>
      </c>
      <c r="E1375" s="1975">
        <f>IF(E1385=0,0,SUMPRODUCT(F1375:I1375,F1385:I1385)/E1385)</f>
        <v>0</v>
      </c>
      <c r="F1375" s="1975" t="e">
        <f>(F1376/SUM(F1377:F1378))</f>
        <v>#DIV/0!</v>
      </c>
      <c r="G1375" s="1975" t="e">
        <f>((F1375*F1379+G1376)/SUM(G1377:G1378))</f>
        <v>#DIV/0!</v>
      </c>
      <c r="H1375" s="1975" t="e">
        <f>((SUMPRODUCT(F1375:G1375,F1380:G1380)+H1376)/SUM(H1377:H1378))</f>
        <v>#DIV/0!</v>
      </c>
      <c r="I1375" s="1975" t="e">
        <f>((SUMPRODUCT(F1375:H1375,F1381:H1381)+I1376)/SUM(I1377:I1378))</f>
        <v>#DIV/0!</v>
      </c>
      <c r="M1375" s="1349"/>
    </row>
    <row r="1376" spans="2:13" ht="31.5">
      <c r="B1376" s="1552" t="s">
        <v>520</v>
      </c>
      <c r="C1376" s="1794" t="s">
        <v>1142</v>
      </c>
      <c r="D1376" s="1795" t="s">
        <v>600</v>
      </c>
      <c r="E1376" s="1796">
        <f>SUM(F1376:I1376)</f>
        <v>0</v>
      </c>
      <c r="F1376" s="1804"/>
      <c r="G1376" s="1804"/>
      <c r="H1376" s="1804"/>
      <c r="I1376" s="1804"/>
      <c r="M1376" s="1349"/>
    </row>
    <row r="1377" spans="2:13" ht="30">
      <c r="B1377" s="1511" t="s">
        <v>527</v>
      </c>
      <c r="C1377" s="1797" t="s">
        <v>1143</v>
      </c>
      <c r="D1377" s="1798" t="s">
        <v>249</v>
      </c>
      <c r="E1377" s="1973">
        <f>SUM(F1377:I1377)</f>
        <v>0</v>
      </c>
      <c r="F1377" s="1803"/>
      <c r="G1377" s="1803"/>
      <c r="H1377" s="1803"/>
      <c r="I1377" s="1803"/>
      <c r="M1377" s="1349"/>
    </row>
    <row r="1378" spans="2:13" ht="30">
      <c r="B1378" s="1511" t="s">
        <v>533</v>
      </c>
      <c r="C1378" s="1797" t="s">
        <v>1139</v>
      </c>
      <c r="D1378" s="1798" t="s">
        <v>249</v>
      </c>
      <c r="E1378" s="1511"/>
      <c r="F1378" s="1974">
        <f>SUM(F1379:F1381)</f>
        <v>0</v>
      </c>
      <c r="G1378" s="1974">
        <f>SUM(G1379:G1381)</f>
        <v>0</v>
      </c>
      <c r="H1378" s="1974">
        <f>SUM(H1379:H1381)</f>
        <v>0</v>
      </c>
      <c r="I1378" s="1511"/>
      <c r="M1378" s="1349"/>
    </row>
    <row r="1379" spans="2:13">
      <c r="B1379" s="1511" t="s">
        <v>535</v>
      </c>
      <c r="C1379" s="1799" t="s">
        <v>208</v>
      </c>
      <c r="D1379" s="1798" t="s">
        <v>249</v>
      </c>
      <c r="E1379" s="1511"/>
      <c r="F1379" s="1803"/>
      <c r="G1379" s="1511"/>
      <c r="H1379" s="1511"/>
      <c r="I1379" s="1511"/>
      <c r="M1379" s="1349"/>
    </row>
    <row r="1380" spans="2:13">
      <c r="B1380" s="1511" t="s">
        <v>2086</v>
      </c>
      <c r="C1380" s="1799" t="s">
        <v>209</v>
      </c>
      <c r="D1380" s="1798" t="s">
        <v>249</v>
      </c>
      <c r="E1380" s="1511"/>
      <c r="F1380" s="1803"/>
      <c r="G1380" s="1803"/>
      <c r="H1380" s="1511"/>
      <c r="I1380" s="1511"/>
      <c r="M1380" s="1349"/>
    </row>
    <row r="1381" spans="2:13">
      <c r="B1381" s="1511" t="s">
        <v>2087</v>
      </c>
      <c r="C1381" s="1799" t="s">
        <v>171</v>
      </c>
      <c r="D1381" s="1798" t="s">
        <v>249</v>
      </c>
      <c r="E1381" s="1511"/>
      <c r="F1381" s="1511"/>
      <c r="G1381" s="1803"/>
      <c r="H1381" s="1803"/>
      <c r="I1381" s="1511"/>
      <c r="M1381" s="1349"/>
    </row>
    <row r="1382" spans="2:13" ht="15.75">
      <c r="B1382" s="1807" t="s">
        <v>239</v>
      </c>
      <c r="C1382" s="1808" t="s">
        <v>256</v>
      </c>
      <c r="D1382" s="1809" t="s">
        <v>285</v>
      </c>
      <c r="E1382" s="1805"/>
      <c r="F1382" s="1975">
        <f>IF(F1385=0,0,(F1368*F1383*6/1000+F1375*F1385)/F1385)</f>
        <v>0</v>
      </c>
      <c r="G1382" s="1975">
        <f>IF(G1385=0,0,(G1368*G1383*6/1000+G1375*G1385)/G1385)</f>
        <v>0</v>
      </c>
      <c r="H1382" s="1975">
        <f>IF(H1385=0,0,(H1368*H1383*6/1000+H1375*H1385)/H1385)</f>
        <v>0</v>
      </c>
      <c r="I1382" s="1975">
        <f>IF(I1385=0,0,(I1368*I1383*6/1000+I1375*I1385)/I1385)</f>
        <v>0</v>
      </c>
      <c r="M1382" s="1349"/>
    </row>
    <row r="1383" spans="2:13" ht="30">
      <c r="B1383" s="1511" t="s">
        <v>242</v>
      </c>
      <c r="C1383" s="1800" t="s">
        <v>1145</v>
      </c>
      <c r="D1383" s="1798" t="s">
        <v>241</v>
      </c>
      <c r="E1383" s="1973">
        <f>SUM(F1383:I1383)</f>
        <v>0</v>
      </c>
      <c r="F1383" s="1974">
        <f>F1370</f>
        <v>0</v>
      </c>
      <c r="G1383" s="1974">
        <f>G1370</f>
        <v>0</v>
      </c>
      <c r="H1383" s="1974">
        <f>H1370</f>
        <v>0</v>
      </c>
      <c r="I1383" s="1974">
        <f>I1370</f>
        <v>0</v>
      </c>
      <c r="M1383" s="1349"/>
    </row>
    <row r="1384" spans="2:13">
      <c r="B1384" s="1511" t="s">
        <v>899</v>
      </c>
      <c r="C1384" s="1800" t="s">
        <v>1146</v>
      </c>
      <c r="D1384" s="1798" t="s">
        <v>241</v>
      </c>
      <c r="E1384" s="1973">
        <f>SUM(F1384:I1384)</f>
        <v>0</v>
      </c>
      <c r="F1384" s="1803"/>
      <c r="G1384" s="1803"/>
      <c r="H1384" s="1803"/>
      <c r="I1384" s="1803"/>
      <c r="M1384" s="1349"/>
    </row>
    <row r="1385" spans="2:13" ht="30">
      <c r="B1385" s="1511" t="s">
        <v>860</v>
      </c>
      <c r="C1385" s="1800" t="s">
        <v>1147</v>
      </c>
      <c r="D1385" s="1798" t="s">
        <v>249</v>
      </c>
      <c r="E1385" s="1973">
        <f>SUM(F1385:I1385)</f>
        <v>0</v>
      </c>
      <c r="F1385" s="1974">
        <f>F1377</f>
        <v>0</v>
      </c>
      <c r="G1385" s="1974">
        <f>G1377</f>
        <v>0</v>
      </c>
      <c r="H1385" s="1974">
        <f>H1377</f>
        <v>0</v>
      </c>
      <c r="I1385" s="1974">
        <f>I1377</f>
        <v>0</v>
      </c>
      <c r="M1385" s="1349"/>
    </row>
    <row r="1386" spans="2:13">
      <c r="B1386" s="1511" t="s">
        <v>862</v>
      </c>
      <c r="C1386" s="1800" t="s">
        <v>1148</v>
      </c>
      <c r="D1386" s="1798" t="s">
        <v>249</v>
      </c>
      <c r="E1386" s="1973">
        <f>SUM(F1386:I1386)</f>
        <v>0</v>
      </c>
      <c r="F1386" s="1803"/>
      <c r="G1386" s="1803"/>
      <c r="H1386" s="1803"/>
      <c r="I1386" s="1803"/>
      <c r="M1386" s="1349"/>
    </row>
    <row r="1387" spans="2:13">
      <c r="M1387" s="1349"/>
    </row>
    <row r="1388" spans="2:13" ht="15.75">
      <c r="B1388" s="2015" t="s">
        <v>2090</v>
      </c>
      <c r="C1388" s="2015"/>
      <c r="D1388" s="2015"/>
      <c r="E1388" s="2015"/>
      <c r="F1388" s="2015"/>
      <c r="G1388" s="2015"/>
      <c r="H1388" s="2015"/>
      <c r="I1388" s="2015"/>
      <c r="J1388" s="2015"/>
      <c r="K1388" s="2015"/>
      <c r="M1388" s="1349"/>
    </row>
    <row r="1389" spans="2:13">
      <c r="M1389" s="1349"/>
    </row>
    <row r="1390" spans="2:13" ht="34.5" customHeight="1">
      <c r="B1390" s="2013" t="s">
        <v>2092</v>
      </c>
      <c r="C1390" s="2013"/>
      <c r="D1390" s="2013"/>
      <c r="E1390" s="2013"/>
      <c r="F1390" s="2013"/>
      <c r="G1390" s="2013"/>
      <c r="H1390" s="2013"/>
      <c r="I1390" s="2013"/>
      <c r="J1390" s="2013"/>
      <c r="K1390" s="2013"/>
      <c r="M1390" s="1349"/>
    </row>
    <row r="1391" spans="2:13" ht="35.25" customHeight="1">
      <c r="B1391" s="2013" t="s">
        <v>2093</v>
      </c>
      <c r="C1391" s="2013"/>
      <c r="D1391" s="2013"/>
      <c r="E1391" s="2013"/>
      <c r="F1391" s="2013"/>
      <c r="G1391" s="2013"/>
      <c r="H1391" s="2013"/>
      <c r="I1391" s="2013"/>
      <c r="J1391" s="2013"/>
      <c r="K1391" s="2013"/>
      <c r="M1391" s="1349"/>
    </row>
    <row r="1392" spans="2:13" ht="39.75" customHeight="1">
      <c r="B1392" s="2013" t="s">
        <v>2094</v>
      </c>
      <c r="C1392" s="2013"/>
      <c r="D1392" s="2013"/>
      <c r="E1392" s="2013"/>
      <c r="F1392" s="2013"/>
      <c r="G1392" s="2013"/>
      <c r="H1392" s="2013"/>
      <c r="I1392" s="2013"/>
      <c r="J1392" s="2013"/>
      <c r="K1392" s="2013"/>
      <c r="M1392" s="1349"/>
    </row>
    <row r="1393" spans="2:13" ht="34.5" customHeight="1">
      <c r="B1393" s="2013" t="s">
        <v>2095</v>
      </c>
      <c r="C1393" s="2013"/>
      <c r="D1393" s="2013"/>
      <c r="E1393" s="2013"/>
      <c r="F1393" s="2013"/>
      <c r="G1393" s="2013"/>
      <c r="H1393" s="2013"/>
      <c r="I1393" s="2013"/>
      <c r="J1393" s="2013"/>
      <c r="K1393" s="2013"/>
      <c r="M1393" s="1349"/>
    </row>
    <row r="1394" spans="2:13">
      <c r="B1394" s="2013" t="s">
        <v>2096</v>
      </c>
      <c r="C1394" s="2013"/>
      <c r="D1394" s="2013"/>
      <c r="E1394" s="2013"/>
      <c r="F1394" s="2013"/>
      <c r="G1394" s="2013"/>
      <c r="H1394" s="2013"/>
      <c r="I1394" s="2013"/>
      <c r="J1394" s="2013"/>
      <c r="K1394" s="2013"/>
      <c r="M1394" s="1349"/>
    </row>
    <row r="1395" spans="2:13">
      <c r="B1395" s="2013" t="s">
        <v>2091</v>
      </c>
      <c r="C1395" s="2013"/>
      <c r="D1395" s="2013"/>
      <c r="E1395" s="2013"/>
      <c r="F1395" s="2013"/>
      <c r="G1395" s="2013"/>
      <c r="H1395" s="2013"/>
      <c r="I1395" s="2013"/>
      <c r="J1395" s="2013"/>
      <c r="K1395" s="2013"/>
      <c r="M1395" s="1349"/>
    </row>
    <row r="1396" spans="2:13">
      <c r="B1396" s="2013"/>
      <c r="C1396" s="2013"/>
      <c r="D1396" s="2013"/>
      <c r="E1396" s="2013"/>
      <c r="F1396" s="2013"/>
      <c r="G1396" s="2013"/>
      <c r="H1396" s="2013"/>
      <c r="I1396" s="2013"/>
      <c r="J1396" s="2013"/>
      <c r="K1396" s="2013"/>
      <c r="M1396" s="1349"/>
    </row>
    <row r="1397" spans="2:13" ht="15.75" customHeight="1">
      <c r="B1397" s="2016" t="s">
        <v>2097</v>
      </c>
      <c r="C1397" s="2016"/>
      <c r="D1397" s="2016"/>
      <c r="E1397" s="2016"/>
      <c r="F1397" s="2016"/>
      <c r="G1397" s="2016"/>
      <c r="H1397" s="2016"/>
      <c r="I1397" s="2016"/>
      <c r="J1397" s="2016"/>
      <c r="K1397" s="2016"/>
      <c r="M1397" s="1349"/>
    </row>
    <row r="1398" spans="2:13">
      <c r="C1398" s="1810"/>
      <c r="D1398" s="1810"/>
      <c r="E1398" s="1810"/>
      <c r="F1398" s="1810"/>
      <c r="G1398" s="1810"/>
      <c r="H1398" s="1909" t="s">
        <v>2088</v>
      </c>
      <c r="I1398" s="1810"/>
      <c r="J1398" s="1810"/>
      <c r="M1398" s="1349"/>
    </row>
    <row r="1399" spans="2:13">
      <c r="B1399" s="2017" t="s">
        <v>12</v>
      </c>
      <c r="C1399" s="2017" t="s">
        <v>2098</v>
      </c>
      <c r="D1399" s="2018" t="s">
        <v>2099</v>
      </c>
      <c r="E1399" s="2018" t="s">
        <v>2100</v>
      </c>
      <c r="F1399" s="2018" t="s">
        <v>2101</v>
      </c>
      <c r="G1399" s="2018" t="s">
        <v>2102</v>
      </c>
      <c r="H1399" s="2018" t="s">
        <v>2103</v>
      </c>
      <c r="I1399" s="1810"/>
      <c r="J1399" s="1810"/>
      <c r="K1399" s="1810"/>
      <c r="M1399" s="1349"/>
    </row>
    <row r="1400" spans="2:13">
      <c r="B1400" s="2017"/>
      <c r="C1400" s="2017"/>
      <c r="D1400" s="2019"/>
      <c r="E1400" s="2019"/>
      <c r="F1400" s="2019"/>
      <c r="G1400" s="2019"/>
      <c r="H1400" s="2019"/>
      <c r="I1400" s="1810"/>
      <c r="J1400" s="1810"/>
      <c r="K1400" s="1810"/>
      <c r="M1400" s="1349"/>
    </row>
    <row r="1401" spans="2:13">
      <c r="B1401" s="2017"/>
      <c r="C1401" s="2017"/>
      <c r="D1401" s="1890" t="s">
        <v>249</v>
      </c>
      <c r="E1401" s="1890" t="s">
        <v>2104</v>
      </c>
      <c r="F1401" s="1890" t="s">
        <v>2104</v>
      </c>
      <c r="G1401" s="1890" t="s">
        <v>2104</v>
      </c>
      <c r="H1401" s="1890" t="s">
        <v>2104</v>
      </c>
      <c r="I1401" s="1810"/>
      <c r="J1401" s="1810"/>
      <c r="K1401" s="1810"/>
      <c r="M1401" s="1349"/>
    </row>
    <row r="1402" spans="2:13">
      <c r="B1402" s="1811">
        <v>1</v>
      </c>
      <c r="C1402" s="1811">
        <v>2</v>
      </c>
      <c r="D1402" s="1811">
        <v>4</v>
      </c>
      <c r="E1402" s="1811">
        <v>5</v>
      </c>
      <c r="F1402" s="1811">
        <v>6</v>
      </c>
      <c r="G1402" s="1811">
        <v>8</v>
      </c>
      <c r="H1402" s="1811">
        <v>9</v>
      </c>
      <c r="I1402" s="1810"/>
      <c r="J1402" s="1810"/>
      <c r="K1402" s="1810"/>
      <c r="M1402" s="1349"/>
    </row>
    <row r="1403" spans="2:13" ht="18">
      <c r="B1403" s="2004" t="s">
        <v>232</v>
      </c>
      <c r="C1403" s="2005"/>
      <c r="D1403" s="2005"/>
      <c r="E1403" s="2005"/>
      <c r="F1403" s="2005"/>
      <c r="G1403" s="2005"/>
      <c r="H1403" s="2006"/>
      <c r="I1403" s="1810"/>
      <c r="J1403" s="1810"/>
      <c r="K1403" s="1810"/>
      <c r="M1403" s="1349"/>
    </row>
    <row r="1404" spans="2:13" ht="15.75" customHeight="1">
      <c r="B1404" s="1999" t="s">
        <v>2111</v>
      </c>
      <c r="C1404" s="2000"/>
      <c r="D1404" s="2000"/>
      <c r="E1404" s="2000"/>
      <c r="F1404" s="2000"/>
      <c r="G1404" s="2000"/>
      <c r="H1404" s="2001"/>
      <c r="I1404" s="1810"/>
      <c r="J1404" s="1810"/>
      <c r="K1404" s="1810"/>
      <c r="M1404" s="1349"/>
    </row>
    <row r="1405" spans="2:13">
      <c r="B1405" s="1890" t="s">
        <v>267</v>
      </c>
      <c r="C1405" s="1812" t="s">
        <v>256</v>
      </c>
      <c r="D1405" s="1887"/>
      <c r="E1405" s="1887"/>
      <c r="F1405" s="2002"/>
      <c r="G1405" s="2002"/>
      <c r="H1405" s="2002"/>
      <c r="I1405" s="1810"/>
      <c r="J1405" s="1810"/>
      <c r="K1405" s="1810"/>
      <c r="M1405" s="1349"/>
    </row>
    <row r="1406" spans="2:13">
      <c r="B1406" s="1890" t="s">
        <v>269</v>
      </c>
      <c r="C1406" s="1812" t="s">
        <v>2105</v>
      </c>
      <c r="D1406" s="1887"/>
      <c r="E1406" s="1887"/>
      <c r="F1406" s="2002"/>
      <c r="G1406" s="2002"/>
      <c r="H1406" s="2002"/>
      <c r="I1406" s="1810"/>
      <c r="J1406" s="1810"/>
      <c r="K1406" s="1810"/>
      <c r="M1406" s="1349"/>
    </row>
    <row r="1407" spans="2:13">
      <c r="B1407" s="1890" t="s">
        <v>1339</v>
      </c>
      <c r="C1407" s="1813" t="s">
        <v>2106</v>
      </c>
      <c r="D1407" s="1887"/>
      <c r="E1407" s="1887"/>
      <c r="F1407" s="2002"/>
      <c r="G1407" s="2002"/>
      <c r="H1407" s="2002"/>
      <c r="I1407" s="1810"/>
      <c r="J1407" s="1810"/>
      <c r="K1407" s="1810"/>
      <c r="M1407" s="1349"/>
    </row>
    <row r="1408" spans="2:13">
      <c r="B1408" s="1890" t="s">
        <v>676</v>
      </c>
      <c r="C1408" s="1813" t="s">
        <v>2107</v>
      </c>
      <c r="D1408" s="1887"/>
      <c r="E1408" s="1887"/>
      <c r="F1408" s="2002"/>
      <c r="G1408" s="2002"/>
      <c r="H1408" s="2002"/>
      <c r="I1408" s="1810"/>
      <c r="J1408" s="1810"/>
      <c r="K1408" s="1810"/>
      <c r="M1408" s="1349"/>
    </row>
    <row r="1409" spans="2:13">
      <c r="B1409" s="1890" t="s">
        <v>270</v>
      </c>
      <c r="C1409" s="1812" t="s">
        <v>2108</v>
      </c>
      <c r="D1409" s="1887"/>
      <c r="E1409" s="1887"/>
      <c r="F1409" s="2002"/>
      <c r="G1409" s="2002"/>
      <c r="H1409" s="2002"/>
      <c r="I1409" s="1810"/>
      <c r="J1409" s="1810"/>
      <c r="K1409" s="1810"/>
      <c r="M1409" s="1349"/>
    </row>
    <row r="1410" spans="2:13">
      <c r="B1410" s="1890" t="s">
        <v>272</v>
      </c>
      <c r="C1410" s="1813" t="s">
        <v>2109</v>
      </c>
      <c r="D1410" s="1887"/>
      <c r="E1410" s="1887"/>
      <c r="F1410" s="2002"/>
      <c r="G1410" s="2002"/>
      <c r="H1410" s="2002"/>
      <c r="I1410" s="1810"/>
      <c r="J1410" s="1810"/>
      <c r="K1410" s="1810"/>
      <c r="M1410" s="1349"/>
    </row>
    <row r="1411" spans="2:13">
      <c r="B1411" s="1890" t="s">
        <v>277</v>
      </c>
      <c r="C1411" s="1813" t="s">
        <v>2110</v>
      </c>
      <c r="D1411" s="1887"/>
      <c r="E1411" s="1887"/>
      <c r="F1411" s="2002"/>
      <c r="G1411" s="2002"/>
      <c r="H1411" s="2002"/>
      <c r="I1411" s="1810"/>
      <c r="J1411" s="1810"/>
      <c r="K1411" s="1810"/>
      <c r="M1411" s="1349"/>
    </row>
    <row r="1412" spans="2:13">
      <c r="B1412" s="1890" t="s">
        <v>279</v>
      </c>
      <c r="C1412" s="1813" t="s">
        <v>2107</v>
      </c>
      <c r="D1412" s="1887"/>
      <c r="E1412" s="1887"/>
      <c r="F1412" s="2002"/>
      <c r="G1412" s="2002"/>
      <c r="H1412" s="2002"/>
      <c r="I1412" s="1810"/>
      <c r="J1412" s="1810"/>
      <c r="K1412" s="1810"/>
      <c r="M1412" s="1349"/>
    </row>
    <row r="1413" spans="2:13" ht="15.75" customHeight="1">
      <c r="B1413" s="1999" t="s">
        <v>2112</v>
      </c>
      <c r="C1413" s="2000"/>
      <c r="D1413" s="2000"/>
      <c r="E1413" s="2000"/>
      <c r="F1413" s="2000"/>
      <c r="G1413" s="2000"/>
      <c r="H1413" s="2001"/>
      <c r="I1413" s="1810"/>
      <c r="J1413" s="1810"/>
      <c r="K1413" s="1810"/>
      <c r="M1413" s="1349"/>
    </row>
    <row r="1414" spans="2:13">
      <c r="B1414" s="1890" t="s">
        <v>267</v>
      </c>
      <c r="C1414" s="1812" t="s">
        <v>256</v>
      </c>
      <c r="D1414" s="1887"/>
      <c r="E1414" s="1887"/>
      <c r="F1414" s="2002"/>
      <c r="G1414" s="2002"/>
      <c r="H1414" s="2002"/>
      <c r="I1414" s="1810"/>
      <c r="J1414" s="1810"/>
      <c r="K1414" s="1810"/>
      <c r="M1414" s="1349"/>
    </row>
    <row r="1415" spans="2:13">
      <c r="B1415" s="1890" t="s">
        <v>269</v>
      </c>
      <c r="C1415" s="1812" t="s">
        <v>2105</v>
      </c>
      <c r="D1415" s="1887"/>
      <c r="E1415" s="1887"/>
      <c r="F1415" s="2002"/>
      <c r="G1415" s="2002"/>
      <c r="H1415" s="2002"/>
      <c r="I1415" s="1810"/>
      <c r="J1415" s="1810"/>
      <c r="K1415" s="1810"/>
      <c r="M1415" s="1349"/>
    </row>
    <row r="1416" spans="2:13">
      <c r="B1416" s="1890" t="s">
        <v>1339</v>
      </c>
      <c r="C1416" s="1813" t="s">
        <v>2106</v>
      </c>
      <c r="D1416" s="1887"/>
      <c r="E1416" s="1887"/>
      <c r="F1416" s="2002"/>
      <c r="G1416" s="2002"/>
      <c r="H1416" s="2002"/>
      <c r="I1416" s="1810"/>
      <c r="J1416" s="1810"/>
      <c r="K1416" s="1810"/>
      <c r="M1416" s="1349"/>
    </row>
    <row r="1417" spans="2:13">
      <c r="B1417" s="1890" t="s">
        <v>676</v>
      </c>
      <c r="C1417" s="1813" t="s">
        <v>2107</v>
      </c>
      <c r="D1417" s="1887"/>
      <c r="E1417" s="1887"/>
      <c r="F1417" s="2002"/>
      <c r="G1417" s="2002"/>
      <c r="H1417" s="2002"/>
      <c r="I1417" s="1810"/>
      <c r="J1417" s="1810"/>
      <c r="K1417" s="1810"/>
      <c r="M1417" s="1349"/>
    </row>
    <row r="1418" spans="2:13">
      <c r="B1418" s="1890" t="s">
        <v>270</v>
      </c>
      <c r="C1418" s="1812" t="s">
        <v>2108</v>
      </c>
      <c r="D1418" s="1887"/>
      <c r="E1418" s="1887"/>
      <c r="F1418" s="2002"/>
      <c r="G1418" s="2002"/>
      <c r="H1418" s="2002"/>
      <c r="I1418" s="1810"/>
      <c r="J1418" s="1810"/>
      <c r="K1418" s="1810"/>
      <c r="M1418" s="1349"/>
    </row>
    <row r="1419" spans="2:13">
      <c r="B1419" s="1890" t="s">
        <v>272</v>
      </c>
      <c r="C1419" s="1813" t="s">
        <v>2109</v>
      </c>
      <c r="D1419" s="1887"/>
      <c r="E1419" s="1887"/>
      <c r="F1419" s="2002"/>
      <c r="G1419" s="2002"/>
      <c r="H1419" s="2002"/>
      <c r="I1419" s="1810"/>
      <c r="J1419" s="1810"/>
      <c r="K1419" s="1810"/>
      <c r="M1419" s="1349"/>
    </row>
    <row r="1420" spans="2:13">
      <c r="B1420" s="1890" t="s">
        <v>277</v>
      </c>
      <c r="C1420" s="1813" t="s">
        <v>2110</v>
      </c>
      <c r="D1420" s="1887"/>
      <c r="E1420" s="1887"/>
      <c r="F1420" s="2002"/>
      <c r="G1420" s="2002"/>
      <c r="H1420" s="2002"/>
      <c r="I1420" s="1810"/>
      <c r="J1420" s="1810"/>
      <c r="K1420" s="1810"/>
      <c r="M1420" s="1349"/>
    </row>
    <row r="1421" spans="2:13">
      <c r="B1421" s="1890" t="s">
        <v>279</v>
      </c>
      <c r="C1421" s="1813" t="s">
        <v>2107</v>
      </c>
      <c r="D1421" s="1887"/>
      <c r="E1421" s="1887"/>
      <c r="F1421" s="2002"/>
      <c r="G1421" s="2002"/>
      <c r="H1421" s="2002"/>
      <c r="I1421" s="1810"/>
      <c r="J1421" s="1810"/>
      <c r="K1421" s="1810"/>
      <c r="M1421" s="1349"/>
    </row>
    <row r="1422" spans="2:13" ht="15.75" customHeight="1">
      <c r="B1422" s="1999" t="s">
        <v>2113</v>
      </c>
      <c r="C1422" s="2000"/>
      <c r="D1422" s="2000"/>
      <c r="E1422" s="2000"/>
      <c r="F1422" s="2000"/>
      <c r="G1422" s="2000"/>
      <c r="H1422" s="2001"/>
      <c r="I1422" s="1810"/>
      <c r="J1422" s="1810"/>
      <c r="K1422" s="1810"/>
      <c r="M1422" s="1349"/>
    </row>
    <row r="1423" spans="2:13">
      <c r="B1423" s="1890" t="s">
        <v>267</v>
      </c>
      <c r="C1423" s="1812" t="s">
        <v>256</v>
      </c>
      <c r="D1423" s="1887"/>
      <c r="E1423" s="1887"/>
      <c r="F1423" s="2002"/>
      <c r="G1423" s="2002"/>
      <c r="H1423" s="2002"/>
      <c r="I1423" s="1810"/>
      <c r="J1423" s="1810"/>
      <c r="K1423" s="1810"/>
      <c r="M1423" s="1349"/>
    </row>
    <row r="1424" spans="2:13">
      <c r="B1424" s="1890" t="s">
        <v>269</v>
      </c>
      <c r="C1424" s="1812" t="s">
        <v>2105</v>
      </c>
      <c r="D1424" s="1887"/>
      <c r="E1424" s="1887"/>
      <c r="F1424" s="2002"/>
      <c r="G1424" s="2002"/>
      <c r="H1424" s="2002"/>
      <c r="I1424" s="1810"/>
      <c r="J1424" s="1810"/>
      <c r="K1424" s="1810"/>
      <c r="M1424" s="1349"/>
    </row>
    <row r="1425" spans="2:13">
      <c r="B1425" s="1890" t="s">
        <v>1339</v>
      </c>
      <c r="C1425" s="1813" t="s">
        <v>2106</v>
      </c>
      <c r="D1425" s="1887"/>
      <c r="E1425" s="1887"/>
      <c r="F1425" s="2002"/>
      <c r="G1425" s="2002"/>
      <c r="H1425" s="2002"/>
      <c r="I1425" s="1810"/>
      <c r="J1425" s="1810"/>
      <c r="K1425" s="1810"/>
      <c r="M1425" s="1349"/>
    </row>
    <row r="1426" spans="2:13">
      <c r="B1426" s="1890" t="s">
        <v>676</v>
      </c>
      <c r="C1426" s="1813" t="s">
        <v>2107</v>
      </c>
      <c r="D1426" s="1887"/>
      <c r="E1426" s="1887"/>
      <c r="F1426" s="2002"/>
      <c r="G1426" s="2002"/>
      <c r="H1426" s="2002"/>
      <c r="I1426" s="1810"/>
      <c r="J1426" s="1810"/>
      <c r="K1426" s="1810"/>
      <c r="M1426" s="1349"/>
    </row>
    <row r="1427" spans="2:13">
      <c r="B1427" s="1890" t="s">
        <v>270</v>
      </c>
      <c r="C1427" s="1812" t="s">
        <v>2108</v>
      </c>
      <c r="D1427" s="1887"/>
      <c r="E1427" s="1887"/>
      <c r="F1427" s="2002"/>
      <c r="G1427" s="2002"/>
      <c r="H1427" s="2002"/>
      <c r="I1427" s="1810"/>
      <c r="J1427" s="1810"/>
      <c r="K1427" s="1810"/>
      <c r="M1427" s="1349"/>
    </row>
    <row r="1428" spans="2:13">
      <c r="B1428" s="1890" t="s">
        <v>272</v>
      </c>
      <c r="C1428" s="1813" t="s">
        <v>2109</v>
      </c>
      <c r="D1428" s="1887"/>
      <c r="E1428" s="1887"/>
      <c r="F1428" s="2002"/>
      <c r="G1428" s="2002"/>
      <c r="H1428" s="2002"/>
      <c r="I1428" s="1810"/>
      <c r="J1428" s="1810"/>
      <c r="K1428" s="1810"/>
      <c r="M1428" s="1349"/>
    </row>
    <row r="1429" spans="2:13">
      <c r="B1429" s="1890" t="s">
        <v>277</v>
      </c>
      <c r="C1429" s="1813" t="s">
        <v>2110</v>
      </c>
      <c r="D1429" s="1887"/>
      <c r="E1429" s="1887"/>
      <c r="F1429" s="2002"/>
      <c r="G1429" s="2002"/>
      <c r="H1429" s="2002"/>
      <c r="I1429" s="1810"/>
      <c r="J1429" s="1810"/>
      <c r="K1429" s="1810"/>
      <c r="M1429" s="1349"/>
    </row>
    <row r="1430" spans="2:13">
      <c r="B1430" s="1890" t="s">
        <v>279</v>
      </c>
      <c r="C1430" s="1813" t="s">
        <v>2107</v>
      </c>
      <c r="D1430" s="1887"/>
      <c r="E1430" s="1887"/>
      <c r="F1430" s="2002"/>
      <c r="G1430" s="2002"/>
      <c r="H1430" s="2002"/>
      <c r="I1430" s="1810"/>
      <c r="J1430" s="1810"/>
      <c r="K1430" s="1810"/>
      <c r="M1430" s="1349"/>
    </row>
    <row r="1431" spans="2:13" ht="15.75" customHeight="1">
      <c r="B1431" s="1999" t="s">
        <v>2114</v>
      </c>
      <c r="C1431" s="2000"/>
      <c r="D1431" s="2000"/>
      <c r="E1431" s="2000"/>
      <c r="F1431" s="2000"/>
      <c r="G1431" s="2000"/>
      <c r="H1431" s="2001"/>
      <c r="I1431" s="1810"/>
      <c r="J1431" s="1810"/>
      <c r="K1431" s="1810"/>
      <c r="M1431" s="1349"/>
    </row>
    <row r="1432" spans="2:13">
      <c r="B1432" s="1890" t="s">
        <v>267</v>
      </c>
      <c r="C1432" s="1812" t="s">
        <v>256</v>
      </c>
      <c r="D1432" s="1887"/>
      <c r="E1432" s="1887"/>
      <c r="F1432" s="2002"/>
      <c r="G1432" s="2002"/>
      <c r="H1432" s="2002"/>
      <c r="I1432" s="1810"/>
      <c r="J1432" s="1810"/>
      <c r="K1432" s="1810"/>
      <c r="M1432" s="1349"/>
    </row>
    <row r="1433" spans="2:13">
      <c r="B1433" s="1890" t="s">
        <v>269</v>
      </c>
      <c r="C1433" s="1812" t="s">
        <v>2105</v>
      </c>
      <c r="D1433" s="1887"/>
      <c r="E1433" s="1887"/>
      <c r="F1433" s="2002"/>
      <c r="G1433" s="2002"/>
      <c r="H1433" s="2002"/>
      <c r="I1433" s="1810"/>
      <c r="J1433" s="1810"/>
      <c r="K1433" s="1810"/>
      <c r="M1433" s="1349"/>
    </row>
    <row r="1434" spans="2:13">
      <c r="B1434" s="1890" t="s">
        <v>1339</v>
      </c>
      <c r="C1434" s="1813" t="s">
        <v>2106</v>
      </c>
      <c r="D1434" s="1887"/>
      <c r="E1434" s="1887"/>
      <c r="F1434" s="2002"/>
      <c r="G1434" s="2002"/>
      <c r="H1434" s="2002"/>
      <c r="I1434" s="1810"/>
      <c r="J1434" s="1810"/>
      <c r="K1434" s="1810"/>
      <c r="M1434" s="1349"/>
    </row>
    <row r="1435" spans="2:13">
      <c r="B1435" s="1890" t="s">
        <v>676</v>
      </c>
      <c r="C1435" s="1813" t="s">
        <v>2107</v>
      </c>
      <c r="D1435" s="1887"/>
      <c r="E1435" s="1887"/>
      <c r="F1435" s="2002"/>
      <c r="G1435" s="2002"/>
      <c r="H1435" s="2002"/>
      <c r="I1435" s="1810"/>
      <c r="J1435" s="1810"/>
      <c r="K1435" s="1810"/>
      <c r="M1435" s="1349"/>
    </row>
    <row r="1436" spans="2:13">
      <c r="B1436" s="1890" t="s">
        <v>270</v>
      </c>
      <c r="C1436" s="1812" t="s">
        <v>2108</v>
      </c>
      <c r="D1436" s="1887"/>
      <c r="E1436" s="1887"/>
      <c r="F1436" s="2002"/>
      <c r="G1436" s="2002"/>
      <c r="H1436" s="2002"/>
      <c r="I1436" s="1810"/>
      <c r="J1436" s="1810"/>
      <c r="K1436" s="1810"/>
      <c r="M1436" s="1349"/>
    </row>
    <row r="1437" spans="2:13">
      <c r="B1437" s="1890" t="s">
        <v>272</v>
      </c>
      <c r="C1437" s="1813" t="s">
        <v>2109</v>
      </c>
      <c r="D1437" s="1887"/>
      <c r="E1437" s="1887"/>
      <c r="F1437" s="2002"/>
      <c r="G1437" s="2002"/>
      <c r="H1437" s="2002"/>
      <c r="I1437" s="1810"/>
      <c r="J1437" s="1810"/>
      <c r="K1437" s="1810"/>
      <c r="M1437" s="1349"/>
    </row>
    <row r="1438" spans="2:13">
      <c r="B1438" s="1890" t="s">
        <v>277</v>
      </c>
      <c r="C1438" s="1813" t="s">
        <v>2110</v>
      </c>
      <c r="D1438" s="1887"/>
      <c r="E1438" s="1887"/>
      <c r="F1438" s="2002"/>
      <c r="G1438" s="2002"/>
      <c r="H1438" s="2002"/>
      <c r="I1438" s="1810"/>
      <c r="J1438" s="1810"/>
      <c r="K1438" s="1810"/>
      <c r="M1438" s="1349"/>
    </row>
    <row r="1439" spans="2:13">
      <c r="B1439" s="1890" t="s">
        <v>279</v>
      </c>
      <c r="C1439" s="1813" t="s">
        <v>2107</v>
      </c>
      <c r="D1439" s="1887"/>
      <c r="E1439" s="1887"/>
      <c r="F1439" s="2002"/>
      <c r="G1439" s="2002"/>
      <c r="H1439" s="2002"/>
      <c r="I1439" s="1810"/>
      <c r="J1439" s="1810"/>
      <c r="K1439" s="1810"/>
      <c r="M1439" s="1349"/>
    </row>
    <row r="1440" spans="2:13" ht="15.75" customHeight="1">
      <c r="B1440" s="1999" t="s">
        <v>2115</v>
      </c>
      <c r="C1440" s="2000"/>
      <c r="D1440" s="2000"/>
      <c r="E1440" s="2000"/>
      <c r="F1440" s="2000"/>
      <c r="G1440" s="2000"/>
      <c r="H1440" s="2001"/>
      <c r="I1440" s="1810"/>
      <c r="J1440" s="1810"/>
      <c r="K1440" s="1810"/>
      <c r="M1440" s="1349"/>
    </row>
    <row r="1441" spans="2:13">
      <c r="B1441" s="1890" t="s">
        <v>267</v>
      </c>
      <c r="C1441" s="1812" t="s">
        <v>256</v>
      </c>
      <c r="D1441" s="1887"/>
      <c r="E1441" s="1887"/>
      <c r="F1441" s="2002"/>
      <c r="G1441" s="2002"/>
      <c r="H1441" s="2002"/>
      <c r="I1441" s="1810"/>
      <c r="J1441" s="1810"/>
      <c r="K1441" s="1810"/>
      <c r="M1441" s="1349"/>
    </row>
    <row r="1442" spans="2:13">
      <c r="B1442" s="1890" t="s">
        <v>269</v>
      </c>
      <c r="C1442" s="1812" t="s">
        <v>2105</v>
      </c>
      <c r="D1442" s="1887"/>
      <c r="E1442" s="1887"/>
      <c r="F1442" s="2002"/>
      <c r="G1442" s="2002"/>
      <c r="H1442" s="2002"/>
      <c r="I1442" s="1810"/>
      <c r="J1442" s="1810"/>
      <c r="K1442" s="1810"/>
      <c r="M1442" s="1349"/>
    </row>
    <row r="1443" spans="2:13">
      <c r="B1443" s="1890" t="s">
        <v>1339</v>
      </c>
      <c r="C1443" s="1813" t="s">
        <v>2106</v>
      </c>
      <c r="D1443" s="1887"/>
      <c r="E1443" s="1887"/>
      <c r="F1443" s="2002"/>
      <c r="G1443" s="2002"/>
      <c r="H1443" s="2002"/>
      <c r="I1443" s="1810"/>
      <c r="J1443" s="1810"/>
      <c r="K1443" s="1810"/>
      <c r="M1443" s="1349"/>
    </row>
    <row r="1444" spans="2:13">
      <c r="B1444" s="1890" t="s">
        <v>676</v>
      </c>
      <c r="C1444" s="1813" t="s">
        <v>2107</v>
      </c>
      <c r="D1444" s="1887"/>
      <c r="E1444" s="1887"/>
      <c r="F1444" s="2002"/>
      <c r="G1444" s="2002"/>
      <c r="H1444" s="2002"/>
      <c r="I1444" s="1810"/>
      <c r="J1444" s="1810"/>
      <c r="K1444" s="1810"/>
      <c r="M1444" s="1349"/>
    </row>
    <row r="1445" spans="2:13">
      <c r="B1445" s="1890" t="s">
        <v>270</v>
      </c>
      <c r="C1445" s="1812" t="s">
        <v>2108</v>
      </c>
      <c r="D1445" s="1887"/>
      <c r="E1445" s="1887"/>
      <c r="F1445" s="2002"/>
      <c r="G1445" s="2002"/>
      <c r="H1445" s="2002"/>
      <c r="I1445" s="1810"/>
      <c r="J1445" s="1810"/>
      <c r="K1445" s="1810"/>
      <c r="M1445" s="1349"/>
    </row>
    <row r="1446" spans="2:13">
      <c r="B1446" s="1890" t="s">
        <v>272</v>
      </c>
      <c r="C1446" s="1813" t="s">
        <v>2109</v>
      </c>
      <c r="D1446" s="1887"/>
      <c r="E1446" s="1887"/>
      <c r="F1446" s="2002"/>
      <c r="G1446" s="2002"/>
      <c r="H1446" s="2002"/>
      <c r="I1446" s="1810"/>
      <c r="J1446" s="1810"/>
      <c r="K1446" s="1810"/>
      <c r="M1446" s="1349"/>
    </row>
    <row r="1447" spans="2:13">
      <c r="B1447" s="1890" t="s">
        <v>277</v>
      </c>
      <c r="C1447" s="1813" t="s">
        <v>2110</v>
      </c>
      <c r="D1447" s="1887"/>
      <c r="E1447" s="1887"/>
      <c r="F1447" s="2002"/>
      <c r="G1447" s="2002"/>
      <c r="H1447" s="2002"/>
      <c r="I1447" s="1810"/>
      <c r="J1447" s="1810"/>
      <c r="K1447" s="1810"/>
      <c r="M1447" s="1349"/>
    </row>
    <row r="1448" spans="2:13">
      <c r="B1448" s="1890" t="s">
        <v>279</v>
      </c>
      <c r="C1448" s="1813" t="s">
        <v>2107</v>
      </c>
      <c r="D1448" s="1887"/>
      <c r="E1448" s="1887"/>
      <c r="F1448" s="2002"/>
      <c r="G1448" s="2002"/>
      <c r="H1448" s="2002"/>
      <c r="I1448" s="1810"/>
      <c r="J1448" s="1810"/>
      <c r="K1448" s="1810"/>
      <c r="M1448" s="1349"/>
    </row>
    <row r="1449" spans="2:13" ht="15.75" customHeight="1">
      <c r="B1449" s="1999" t="s">
        <v>2116</v>
      </c>
      <c r="C1449" s="2000"/>
      <c r="D1449" s="2000"/>
      <c r="E1449" s="2000"/>
      <c r="F1449" s="2000"/>
      <c r="G1449" s="2000"/>
      <c r="H1449" s="2001"/>
      <c r="I1449" s="1810"/>
      <c r="J1449" s="1810"/>
      <c r="K1449" s="1810"/>
      <c r="M1449" s="1349"/>
    </row>
    <row r="1450" spans="2:13">
      <c r="B1450" s="1890" t="s">
        <v>267</v>
      </c>
      <c r="C1450" s="1812" t="s">
        <v>256</v>
      </c>
      <c r="D1450" s="1887"/>
      <c r="E1450" s="1887"/>
      <c r="F1450" s="2002"/>
      <c r="G1450" s="2002"/>
      <c r="H1450" s="2002"/>
      <c r="I1450" s="1810"/>
      <c r="J1450" s="1810"/>
      <c r="K1450" s="1810"/>
      <c r="M1450" s="1349"/>
    </row>
    <row r="1451" spans="2:13">
      <c r="B1451" s="1890" t="s">
        <v>269</v>
      </c>
      <c r="C1451" s="1812" t="s">
        <v>2105</v>
      </c>
      <c r="D1451" s="1887"/>
      <c r="E1451" s="1887"/>
      <c r="F1451" s="2002"/>
      <c r="G1451" s="2002"/>
      <c r="H1451" s="2002"/>
      <c r="I1451" s="1810"/>
      <c r="J1451" s="1810"/>
      <c r="K1451" s="1810"/>
      <c r="M1451" s="1349"/>
    </row>
    <row r="1452" spans="2:13">
      <c r="B1452" s="1890" t="s">
        <v>1339</v>
      </c>
      <c r="C1452" s="1813" t="s">
        <v>2106</v>
      </c>
      <c r="D1452" s="1887"/>
      <c r="E1452" s="1887"/>
      <c r="F1452" s="2002"/>
      <c r="G1452" s="2002"/>
      <c r="H1452" s="2002"/>
      <c r="I1452" s="1810"/>
      <c r="J1452" s="1810"/>
      <c r="K1452" s="1810"/>
      <c r="M1452" s="1349"/>
    </row>
    <row r="1453" spans="2:13">
      <c r="B1453" s="1890" t="s">
        <v>676</v>
      </c>
      <c r="C1453" s="1813" t="s">
        <v>2107</v>
      </c>
      <c r="D1453" s="1887"/>
      <c r="E1453" s="1887"/>
      <c r="F1453" s="2002"/>
      <c r="G1453" s="2002"/>
      <c r="H1453" s="2002"/>
      <c r="I1453" s="1810"/>
      <c r="J1453" s="1810"/>
      <c r="K1453" s="1810"/>
      <c r="M1453" s="1349"/>
    </row>
    <row r="1454" spans="2:13">
      <c r="B1454" s="1890" t="s">
        <v>270</v>
      </c>
      <c r="C1454" s="1812" t="s">
        <v>2108</v>
      </c>
      <c r="D1454" s="1887"/>
      <c r="E1454" s="1887"/>
      <c r="F1454" s="2002"/>
      <c r="G1454" s="2002"/>
      <c r="H1454" s="2002"/>
      <c r="I1454" s="1810"/>
      <c r="J1454" s="1810"/>
      <c r="K1454" s="1810"/>
      <c r="M1454" s="1349"/>
    </row>
    <row r="1455" spans="2:13">
      <c r="B1455" s="1890" t="s">
        <v>272</v>
      </c>
      <c r="C1455" s="1813" t="s">
        <v>2109</v>
      </c>
      <c r="D1455" s="1887"/>
      <c r="E1455" s="1887"/>
      <c r="F1455" s="2002"/>
      <c r="G1455" s="2002"/>
      <c r="H1455" s="2002"/>
      <c r="I1455" s="1810"/>
      <c r="J1455" s="1810"/>
      <c r="K1455" s="1810"/>
      <c r="M1455" s="1349"/>
    </row>
    <row r="1456" spans="2:13">
      <c r="B1456" s="1890" t="s">
        <v>277</v>
      </c>
      <c r="C1456" s="1813" t="s">
        <v>2110</v>
      </c>
      <c r="D1456" s="1887"/>
      <c r="E1456" s="1887"/>
      <c r="F1456" s="2002"/>
      <c r="G1456" s="2002"/>
      <c r="H1456" s="2002"/>
      <c r="I1456" s="1810"/>
      <c r="J1456" s="1810"/>
      <c r="K1456" s="1810"/>
      <c r="M1456" s="1349"/>
    </row>
    <row r="1457" spans="2:13">
      <c r="B1457" s="1890" t="s">
        <v>279</v>
      </c>
      <c r="C1457" s="1813" t="s">
        <v>2107</v>
      </c>
      <c r="D1457" s="1887"/>
      <c r="E1457" s="1887"/>
      <c r="F1457" s="2002"/>
      <c r="G1457" s="2002"/>
      <c r="H1457" s="2002"/>
      <c r="I1457" s="1810"/>
      <c r="J1457" s="1810"/>
      <c r="K1457" s="1810"/>
      <c r="M1457" s="1349"/>
    </row>
    <row r="1458" spans="2:13" ht="15.75" customHeight="1">
      <c r="B1458" s="1999" t="s">
        <v>2117</v>
      </c>
      <c r="C1458" s="2000"/>
      <c r="D1458" s="2000"/>
      <c r="E1458" s="2000"/>
      <c r="F1458" s="2000"/>
      <c r="G1458" s="2000"/>
      <c r="H1458" s="2001"/>
      <c r="I1458" s="1810"/>
      <c r="J1458" s="1810"/>
      <c r="K1458" s="1810"/>
      <c r="M1458" s="1349"/>
    </row>
    <row r="1459" spans="2:13">
      <c r="B1459" s="1890" t="s">
        <v>267</v>
      </c>
      <c r="C1459" s="1812" t="s">
        <v>256</v>
      </c>
      <c r="D1459" s="1887"/>
      <c r="E1459" s="1887"/>
      <c r="F1459" s="2002"/>
      <c r="G1459" s="2002"/>
      <c r="H1459" s="2002"/>
      <c r="I1459" s="1810"/>
      <c r="J1459" s="1810"/>
      <c r="K1459" s="1810"/>
      <c r="M1459" s="1349"/>
    </row>
    <row r="1460" spans="2:13">
      <c r="B1460" s="1890" t="s">
        <v>269</v>
      </c>
      <c r="C1460" s="1812" t="s">
        <v>2105</v>
      </c>
      <c r="D1460" s="1887"/>
      <c r="E1460" s="1887"/>
      <c r="F1460" s="2002"/>
      <c r="G1460" s="2002"/>
      <c r="H1460" s="2002"/>
      <c r="I1460" s="1810"/>
      <c r="J1460" s="1810"/>
      <c r="K1460" s="1810"/>
      <c r="M1460" s="1349"/>
    </row>
    <row r="1461" spans="2:13">
      <c r="B1461" s="1890" t="s">
        <v>1339</v>
      </c>
      <c r="C1461" s="1813" t="s">
        <v>2106</v>
      </c>
      <c r="D1461" s="1887"/>
      <c r="E1461" s="1887"/>
      <c r="F1461" s="2002"/>
      <c r="G1461" s="2002"/>
      <c r="H1461" s="2002"/>
      <c r="I1461" s="1810"/>
      <c r="J1461" s="1810"/>
      <c r="K1461" s="1810"/>
      <c r="M1461" s="1349"/>
    </row>
    <row r="1462" spans="2:13">
      <c r="B1462" s="1890" t="s">
        <v>676</v>
      </c>
      <c r="C1462" s="1813" t="s">
        <v>2107</v>
      </c>
      <c r="D1462" s="1887"/>
      <c r="E1462" s="1887"/>
      <c r="F1462" s="2002"/>
      <c r="G1462" s="2002"/>
      <c r="H1462" s="2002"/>
      <c r="I1462" s="1810"/>
      <c r="J1462" s="1810"/>
      <c r="K1462" s="1810"/>
      <c r="M1462" s="1349"/>
    </row>
    <row r="1463" spans="2:13">
      <c r="B1463" s="1890" t="s">
        <v>270</v>
      </c>
      <c r="C1463" s="1812" t="s">
        <v>2108</v>
      </c>
      <c r="D1463" s="1887"/>
      <c r="E1463" s="1887"/>
      <c r="F1463" s="2002"/>
      <c r="G1463" s="2002"/>
      <c r="H1463" s="2002"/>
      <c r="I1463" s="1810"/>
      <c r="J1463" s="1810"/>
      <c r="K1463" s="1810"/>
      <c r="M1463" s="1349"/>
    </row>
    <row r="1464" spans="2:13">
      <c r="B1464" s="1890" t="s">
        <v>272</v>
      </c>
      <c r="C1464" s="1813" t="s">
        <v>2109</v>
      </c>
      <c r="D1464" s="1887"/>
      <c r="E1464" s="1887"/>
      <c r="F1464" s="2002"/>
      <c r="G1464" s="2002"/>
      <c r="H1464" s="2002"/>
      <c r="I1464" s="1810"/>
      <c r="J1464" s="1810"/>
      <c r="K1464" s="1810"/>
      <c r="M1464" s="1349"/>
    </row>
    <row r="1465" spans="2:13">
      <c r="B1465" s="1890" t="s">
        <v>277</v>
      </c>
      <c r="C1465" s="1813" t="s">
        <v>2110</v>
      </c>
      <c r="D1465" s="1887"/>
      <c r="E1465" s="1887"/>
      <c r="F1465" s="2002"/>
      <c r="G1465" s="2002"/>
      <c r="H1465" s="2002"/>
      <c r="I1465" s="1810"/>
      <c r="J1465" s="1810"/>
      <c r="K1465" s="1810"/>
      <c r="M1465" s="1349"/>
    </row>
    <row r="1466" spans="2:13">
      <c r="B1466" s="1890" t="s">
        <v>279</v>
      </c>
      <c r="C1466" s="1813" t="s">
        <v>2107</v>
      </c>
      <c r="D1466" s="1887"/>
      <c r="E1466" s="1887"/>
      <c r="F1466" s="2002"/>
      <c r="G1466" s="2002"/>
      <c r="H1466" s="2002"/>
      <c r="I1466" s="1810"/>
      <c r="J1466" s="1810"/>
      <c r="K1466" s="1810"/>
      <c r="M1466" s="1349"/>
    </row>
    <row r="1467" spans="2:13" ht="15.75" customHeight="1">
      <c r="B1467" s="1999" t="s">
        <v>2118</v>
      </c>
      <c r="C1467" s="2000"/>
      <c r="D1467" s="2000"/>
      <c r="E1467" s="2000"/>
      <c r="F1467" s="2000"/>
      <c r="G1467" s="2000"/>
      <c r="H1467" s="2001"/>
      <c r="I1467" s="1810"/>
      <c r="J1467" s="1810"/>
      <c r="K1467" s="1810"/>
      <c r="M1467" s="1349"/>
    </row>
    <row r="1468" spans="2:13">
      <c r="B1468" s="1890" t="s">
        <v>267</v>
      </c>
      <c r="C1468" s="1812" t="s">
        <v>256</v>
      </c>
      <c r="D1468" s="1887"/>
      <c r="E1468" s="1887"/>
      <c r="F1468" s="2002"/>
      <c r="G1468" s="2002"/>
      <c r="H1468" s="2002"/>
      <c r="I1468" s="1810"/>
      <c r="J1468" s="1810"/>
      <c r="K1468" s="1810"/>
      <c r="M1468" s="1349"/>
    </row>
    <row r="1469" spans="2:13">
      <c r="B1469" s="1890" t="s">
        <v>269</v>
      </c>
      <c r="C1469" s="1812" t="s">
        <v>2105</v>
      </c>
      <c r="D1469" s="1887"/>
      <c r="E1469" s="1887"/>
      <c r="F1469" s="2002"/>
      <c r="G1469" s="2002"/>
      <c r="H1469" s="2002"/>
      <c r="I1469" s="1810"/>
      <c r="J1469" s="1810"/>
      <c r="K1469" s="1810"/>
      <c r="M1469" s="1349"/>
    </row>
    <row r="1470" spans="2:13">
      <c r="B1470" s="1890" t="s">
        <v>1339</v>
      </c>
      <c r="C1470" s="1813" t="s">
        <v>2106</v>
      </c>
      <c r="D1470" s="1887"/>
      <c r="E1470" s="1887"/>
      <c r="F1470" s="2002"/>
      <c r="G1470" s="2002"/>
      <c r="H1470" s="2002"/>
      <c r="I1470" s="1810"/>
      <c r="J1470" s="1810"/>
      <c r="K1470" s="1810"/>
      <c r="M1470" s="1349"/>
    </row>
    <row r="1471" spans="2:13">
      <c r="B1471" s="1890" t="s">
        <v>676</v>
      </c>
      <c r="C1471" s="1813" t="s">
        <v>2107</v>
      </c>
      <c r="D1471" s="1887"/>
      <c r="E1471" s="1887"/>
      <c r="F1471" s="2002"/>
      <c r="G1471" s="2002"/>
      <c r="H1471" s="2002"/>
      <c r="I1471" s="1810"/>
      <c r="J1471" s="1810"/>
      <c r="K1471" s="1810"/>
      <c r="M1471" s="1349"/>
    </row>
    <row r="1472" spans="2:13">
      <c r="B1472" s="1890" t="s">
        <v>270</v>
      </c>
      <c r="C1472" s="1812" t="s">
        <v>2108</v>
      </c>
      <c r="D1472" s="1887"/>
      <c r="E1472" s="1887"/>
      <c r="F1472" s="2002"/>
      <c r="G1472" s="2002"/>
      <c r="H1472" s="2002"/>
      <c r="I1472" s="1810"/>
      <c r="J1472" s="1810"/>
      <c r="K1472" s="1810"/>
      <c r="M1472" s="1349"/>
    </row>
    <row r="1473" spans="2:13">
      <c r="B1473" s="1890" t="s">
        <v>272</v>
      </c>
      <c r="C1473" s="1813" t="s">
        <v>2109</v>
      </c>
      <c r="D1473" s="1887"/>
      <c r="E1473" s="1887"/>
      <c r="F1473" s="2002"/>
      <c r="G1473" s="2002"/>
      <c r="H1473" s="2002"/>
      <c r="I1473" s="1810"/>
      <c r="J1473" s="1810"/>
      <c r="K1473" s="1810"/>
      <c r="M1473" s="1349"/>
    </row>
    <row r="1474" spans="2:13">
      <c r="B1474" s="1890" t="s">
        <v>277</v>
      </c>
      <c r="C1474" s="1813" t="s">
        <v>2110</v>
      </c>
      <c r="D1474" s="1887"/>
      <c r="E1474" s="1887"/>
      <c r="F1474" s="2002"/>
      <c r="G1474" s="2002"/>
      <c r="H1474" s="2002"/>
      <c r="I1474" s="1810"/>
      <c r="J1474" s="1810"/>
      <c r="K1474" s="1810"/>
      <c r="M1474" s="1349"/>
    </row>
    <row r="1475" spans="2:13">
      <c r="B1475" s="1890" t="s">
        <v>279</v>
      </c>
      <c r="C1475" s="1813" t="s">
        <v>2107</v>
      </c>
      <c r="D1475" s="1887"/>
      <c r="E1475" s="1887"/>
      <c r="F1475" s="2002"/>
      <c r="G1475" s="2002"/>
      <c r="H1475" s="2002"/>
      <c r="I1475" s="1810"/>
      <c r="J1475" s="1810"/>
      <c r="K1475" s="1810"/>
      <c r="M1475" s="1349"/>
    </row>
    <row r="1476" spans="2:13" ht="15.75" customHeight="1">
      <c r="B1476" s="1999" t="s">
        <v>2119</v>
      </c>
      <c r="C1476" s="2000"/>
      <c r="D1476" s="2000"/>
      <c r="E1476" s="2000"/>
      <c r="F1476" s="2000"/>
      <c r="G1476" s="2000"/>
      <c r="H1476" s="2001"/>
      <c r="I1476" s="1810"/>
      <c r="J1476" s="1810"/>
      <c r="K1476" s="1810"/>
      <c r="M1476" s="1349"/>
    </row>
    <row r="1477" spans="2:13">
      <c r="B1477" s="1890" t="s">
        <v>267</v>
      </c>
      <c r="C1477" s="1812" t="s">
        <v>256</v>
      </c>
      <c r="D1477" s="1887"/>
      <c r="E1477" s="1887"/>
      <c r="F1477" s="2002"/>
      <c r="G1477" s="2002"/>
      <c r="H1477" s="2002"/>
      <c r="I1477" s="1810"/>
      <c r="J1477" s="1810"/>
      <c r="K1477" s="1810"/>
      <c r="M1477" s="1349"/>
    </row>
    <row r="1478" spans="2:13">
      <c r="B1478" s="1890" t="s">
        <v>269</v>
      </c>
      <c r="C1478" s="1812" t="s">
        <v>2105</v>
      </c>
      <c r="D1478" s="1887"/>
      <c r="E1478" s="1887"/>
      <c r="F1478" s="2002"/>
      <c r="G1478" s="2002"/>
      <c r="H1478" s="2002"/>
      <c r="I1478" s="1810"/>
      <c r="J1478" s="1810"/>
      <c r="K1478" s="1810"/>
      <c r="M1478" s="1349"/>
    </row>
    <row r="1479" spans="2:13">
      <c r="B1479" s="1890" t="s">
        <v>1339</v>
      </c>
      <c r="C1479" s="1813" t="s">
        <v>2106</v>
      </c>
      <c r="D1479" s="1887"/>
      <c r="E1479" s="1887"/>
      <c r="F1479" s="2002"/>
      <c r="G1479" s="2002"/>
      <c r="H1479" s="2002"/>
      <c r="I1479" s="1810"/>
      <c r="J1479" s="1810"/>
      <c r="K1479" s="1810"/>
      <c r="M1479" s="1349"/>
    </row>
    <row r="1480" spans="2:13">
      <c r="B1480" s="1890" t="s">
        <v>676</v>
      </c>
      <c r="C1480" s="1813" t="s">
        <v>2107</v>
      </c>
      <c r="D1480" s="1887"/>
      <c r="E1480" s="1887"/>
      <c r="F1480" s="2002"/>
      <c r="G1480" s="2002"/>
      <c r="H1480" s="2002"/>
      <c r="I1480" s="1810"/>
      <c r="J1480" s="1810"/>
      <c r="K1480" s="1810"/>
      <c r="M1480" s="1349"/>
    </row>
    <row r="1481" spans="2:13">
      <c r="B1481" s="1890" t="s">
        <v>270</v>
      </c>
      <c r="C1481" s="1812" t="s">
        <v>2108</v>
      </c>
      <c r="D1481" s="1887"/>
      <c r="E1481" s="1887"/>
      <c r="F1481" s="2002"/>
      <c r="G1481" s="2002"/>
      <c r="H1481" s="2002"/>
      <c r="I1481" s="1810"/>
      <c r="J1481" s="1810"/>
      <c r="K1481" s="1810"/>
      <c r="M1481" s="1349"/>
    </row>
    <row r="1482" spans="2:13">
      <c r="B1482" s="1890" t="s">
        <v>272</v>
      </c>
      <c r="C1482" s="1813" t="s">
        <v>2109</v>
      </c>
      <c r="D1482" s="1887"/>
      <c r="E1482" s="1887"/>
      <c r="F1482" s="2002"/>
      <c r="G1482" s="2002"/>
      <c r="H1482" s="2002"/>
      <c r="I1482" s="1810"/>
      <c r="J1482" s="1810"/>
      <c r="K1482" s="1810"/>
      <c r="M1482" s="1349"/>
    </row>
    <row r="1483" spans="2:13">
      <c r="B1483" s="1890" t="s">
        <v>277</v>
      </c>
      <c r="C1483" s="1813" t="s">
        <v>2110</v>
      </c>
      <c r="D1483" s="1887"/>
      <c r="E1483" s="1887"/>
      <c r="F1483" s="2002"/>
      <c r="G1483" s="2002"/>
      <c r="H1483" s="2002"/>
      <c r="I1483" s="1810"/>
      <c r="J1483" s="1810"/>
      <c r="K1483" s="1810"/>
      <c r="M1483" s="1349"/>
    </row>
    <row r="1484" spans="2:13">
      <c r="B1484" s="1890" t="s">
        <v>279</v>
      </c>
      <c r="C1484" s="1813" t="s">
        <v>2107</v>
      </c>
      <c r="D1484" s="1887"/>
      <c r="E1484" s="1887"/>
      <c r="F1484" s="2002"/>
      <c r="G1484" s="2002"/>
      <c r="H1484" s="2002"/>
      <c r="I1484" s="1810"/>
      <c r="J1484" s="1810"/>
      <c r="K1484" s="1810"/>
      <c r="M1484" s="1349"/>
    </row>
    <row r="1485" spans="2:13" ht="15.75" customHeight="1">
      <c r="B1485" s="1999" t="s">
        <v>2120</v>
      </c>
      <c r="C1485" s="2000"/>
      <c r="D1485" s="2000"/>
      <c r="E1485" s="2000"/>
      <c r="F1485" s="2000"/>
      <c r="G1485" s="2000"/>
      <c r="H1485" s="2001"/>
      <c r="I1485" s="1810"/>
      <c r="J1485" s="1810"/>
      <c r="K1485" s="1810"/>
      <c r="M1485" s="1349"/>
    </row>
    <row r="1486" spans="2:13">
      <c r="B1486" s="1890" t="s">
        <v>267</v>
      </c>
      <c r="C1486" s="1812" t="s">
        <v>256</v>
      </c>
      <c r="D1486" s="1887"/>
      <c r="E1486" s="1887"/>
      <c r="F1486" s="2002"/>
      <c r="G1486" s="2002"/>
      <c r="H1486" s="2002"/>
      <c r="I1486" s="1810"/>
      <c r="J1486" s="1810"/>
      <c r="K1486" s="1810"/>
      <c r="M1486" s="1349"/>
    </row>
    <row r="1487" spans="2:13">
      <c r="B1487" s="1890" t="s">
        <v>269</v>
      </c>
      <c r="C1487" s="1812" t="s">
        <v>2105</v>
      </c>
      <c r="D1487" s="1887"/>
      <c r="E1487" s="1887"/>
      <c r="F1487" s="2002"/>
      <c r="G1487" s="2002"/>
      <c r="H1487" s="2002"/>
      <c r="I1487" s="1810"/>
      <c r="J1487" s="1810"/>
      <c r="K1487" s="1810"/>
      <c r="M1487" s="1349"/>
    </row>
    <row r="1488" spans="2:13">
      <c r="B1488" s="1890" t="s">
        <v>1339</v>
      </c>
      <c r="C1488" s="1813" t="s">
        <v>2106</v>
      </c>
      <c r="D1488" s="1887"/>
      <c r="E1488" s="1887"/>
      <c r="F1488" s="2002"/>
      <c r="G1488" s="2002"/>
      <c r="H1488" s="2002"/>
      <c r="I1488" s="1810"/>
      <c r="J1488" s="1810"/>
      <c r="K1488" s="1810"/>
      <c r="M1488" s="1349"/>
    </row>
    <row r="1489" spans="2:13">
      <c r="B1489" s="1890" t="s">
        <v>676</v>
      </c>
      <c r="C1489" s="1813" t="s">
        <v>2107</v>
      </c>
      <c r="D1489" s="1887"/>
      <c r="E1489" s="1887"/>
      <c r="F1489" s="2002"/>
      <c r="G1489" s="2002"/>
      <c r="H1489" s="2002"/>
      <c r="I1489" s="1810"/>
      <c r="J1489" s="1810"/>
      <c r="K1489" s="1810"/>
      <c r="M1489" s="1349"/>
    </row>
    <row r="1490" spans="2:13">
      <c r="B1490" s="1890" t="s">
        <v>270</v>
      </c>
      <c r="C1490" s="1812" t="s">
        <v>2108</v>
      </c>
      <c r="D1490" s="1887"/>
      <c r="E1490" s="1887"/>
      <c r="F1490" s="2002"/>
      <c r="G1490" s="2002"/>
      <c r="H1490" s="2002"/>
      <c r="I1490" s="1810"/>
      <c r="J1490" s="1810"/>
      <c r="K1490" s="1810"/>
      <c r="M1490" s="1349"/>
    </row>
    <row r="1491" spans="2:13">
      <c r="B1491" s="1890" t="s">
        <v>272</v>
      </c>
      <c r="C1491" s="1813" t="s">
        <v>2109</v>
      </c>
      <c r="D1491" s="1887"/>
      <c r="E1491" s="1887"/>
      <c r="F1491" s="2002"/>
      <c r="G1491" s="2002"/>
      <c r="H1491" s="2002"/>
      <c r="I1491" s="1810"/>
      <c r="J1491" s="1810"/>
      <c r="K1491" s="1810"/>
      <c r="M1491" s="1349"/>
    </row>
    <row r="1492" spans="2:13">
      <c r="B1492" s="1890" t="s">
        <v>277</v>
      </c>
      <c r="C1492" s="1813" t="s">
        <v>2110</v>
      </c>
      <c r="D1492" s="1887"/>
      <c r="E1492" s="1887"/>
      <c r="F1492" s="2002"/>
      <c r="G1492" s="2002"/>
      <c r="H1492" s="2002"/>
      <c r="I1492" s="1810"/>
      <c r="J1492" s="1810"/>
      <c r="K1492" s="1810"/>
      <c r="M1492" s="1349"/>
    </row>
    <row r="1493" spans="2:13">
      <c r="B1493" s="1890" t="s">
        <v>279</v>
      </c>
      <c r="C1493" s="1813" t="s">
        <v>2107</v>
      </c>
      <c r="D1493" s="1887"/>
      <c r="E1493" s="1887"/>
      <c r="F1493" s="2002"/>
      <c r="G1493" s="2002"/>
      <c r="H1493" s="2002"/>
      <c r="I1493" s="1810"/>
      <c r="J1493" s="1810"/>
      <c r="K1493" s="1810"/>
      <c r="M1493" s="1349"/>
    </row>
    <row r="1494" spans="2:13" ht="15.75" customHeight="1">
      <c r="B1494" s="1999" t="s">
        <v>2121</v>
      </c>
      <c r="C1494" s="2000"/>
      <c r="D1494" s="2000"/>
      <c r="E1494" s="2000"/>
      <c r="F1494" s="2000"/>
      <c r="G1494" s="2000"/>
      <c r="H1494" s="2001"/>
      <c r="I1494" s="1810"/>
      <c r="J1494" s="1810"/>
      <c r="K1494" s="1810"/>
      <c r="M1494" s="1349"/>
    </row>
    <row r="1495" spans="2:13">
      <c r="B1495" s="1890" t="s">
        <v>267</v>
      </c>
      <c r="C1495" s="1812" t="s">
        <v>256</v>
      </c>
      <c r="D1495" s="1887"/>
      <c r="E1495" s="1887"/>
      <c r="F1495" s="2002"/>
      <c r="G1495" s="2002"/>
      <c r="H1495" s="2002"/>
      <c r="I1495" s="1810"/>
      <c r="J1495" s="1810"/>
      <c r="K1495" s="1810"/>
      <c r="M1495" s="1349"/>
    </row>
    <row r="1496" spans="2:13">
      <c r="B1496" s="1890" t="s">
        <v>269</v>
      </c>
      <c r="C1496" s="1812" t="s">
        <v>2105</v>
      </c>
      <c r="D1496" s="1887"/>
      <c r="E1496" s="1887"/>
      <c r="F1496" s="2002"/>
      <c r="G1496" s="2002"/>
      <c r="H1496" s="2002"/>
      <c r="I1496" s="1810"/>
      <c r="J1496" s="1810"/>
      <c r="K1496" s="1810"/>
      <c r="M1496" s="1349"/>
    </row>
    <row r="1497" spans="2:13">
      <c r="B1497" s="1890" t="s">
        <v>1339</v>
      </c>
      <c r="C1497" s="1813" t="s">
        <v>2106</v>
      </c>
      <c r="D1497" s="1887"/>
      <c r="E1497" s="1887"/>
      <c r="F1497" s="2002"/>
      <c r="G1497" s="2002"/>
      <c r="H1497" s="2002"/>
      <c r="I1497" s="1810"/>
      <c r="J1497" s="1810"/>
      <c r="K1497" s="1810"/>
      <c r="M1497" s="1349"/>
    </row>
    <row r="1498" spans="2:13">
      <c r="B1498" s="1890" t="s">
        <v>676</v>
      </c>
      <c r="C1498" s="1813" t="s">
        <v>2107</v>
      </c>
      <c r="D1498" s="1887"/>
      <c r="E1498" s="1887"/>
      <c r="F1498" s="2002"/>
      <c r="G1498" s="2002"/>
      <c r="H1498" s="2002"/>
      <c r="I1498" s="1810"/>
      <c r="J1498" s="1810"/>
      <c r="K1498" s="1810"/>
      <c r="M1498" s="1349"/>
    </row>
    <row r="1499" spans="2:13">
      <c r="B1499" s="1890" t="s">
        <v>270</v>
      </c>
      <c r="C1499" s="1812" t="s">
        <v>2108</v>
      </c>
      <c r="D1499" s="1887"/>
      <c r="E1499" s="1887"/>
      <c r="F1499" s="2002"/>
      <c r="G1499" s="2002"/>
      <c r="H1499" s="2002"/>
      <c r="I1499" s="1810"/>
      <c r="J1499" s="1810"/>
      <c r="K1499" s="1810"/>
      <c r="M1499" s="1349"/>
    </row>
    <row r="1500" spans="2:13">
      <c r="B1500" s="1890" t="s">
        <v>272</v>
      </c>
      <c r="C1500" s="1813" t="s">
        <v>2109</v>
      </c>
      <c r="D1500" s="1887"/>
      <c r="E1500" s="1887"/>
      <c r="F1500" s="2002"/>
      <c r="G1500" s="2002"/>
      <c r="H1500" s="2002"/>
      <c r="I1500" s="1810"/>
      <c r="J1500" s="1810"/>
      <c r="K1500" s="1810"/>
      <c r="M1500" s="1349"/>
    </row>
    <row r="1501" spans="2:13">
      <c r="B1501" s="1890" t="s">
        <v>277</v>
      </c>
      <c r="C1501" s="1813" t="s">
        <v>2110</v>
      </c>
      <c r="D1501" s="1887"/>
      <c r="E1501" s="1887"/>
      <c r="F1501" s="2002"/>
      <c r="G1501" s="2002"/>
      <c r="H1501" s="2002"/>
      <c r="I1501" s="1810"/>
      <c r="J1501" s="1810"/>
      <c r="K1501" s="1810"/>
      <c r="M1501" s="1349"/>
    </row>
    <row r="1502" spans="2:13">
      <c r="B1502" s="1890" t="s">
        <v>279</v>
      </c>
      <c r="C1502" s="1813" t="s">
        <v>2107</v>
      </c>
      <c r="D1502" s="1887"/>
      <c r="E1502" s="1887"/>
      <c r="F1502" s="2002"/>
      <c r="G1502" s="2002"/>
      <c r="H1502" s="2002"/>
      <c r="I1502" s="1810"/>
      <c r="J1502" s="1810"/>
      <c r="K1502" s="1810"/>
      <c r="M1502" s="1349"/>
    </row>
    <row r="1503" spans="2:13" ht="18">
      <c r="B1503" s="2004" t="s">
        <v>233</v>
      </c>
      <c r="C1503" s="2005"/>
      <c r="D1503" s="2005"/>
      <c r="E1503" s="2005"/>
      <c r="F1503" s="2005"/>
      <c r="G1503" s="2005"/>
      <c r="H1503" s="2006"/>
      <c r="I1503" s="1810"/>
      <c r="J1503" s="1810"/>
      <c r="K1503" s="1810"/>
      <c r="M1503" s="1349"/>
    </row>
    <row r="1504" spans="2:13" ht="15.75" customHeight="1">
      <c r="B1504" s="1999" t="s">
        <v>2111</v>
      </c>
      <c r="C1504" s="2000"/>
      <c r="D1504" s="2000"/>
      <c r="E1504" s="2000"/>
      <c r="F1504" s="2000"/>
      <c r="G1504" s="2000"/>
      <c r="H1504" s="2001"/>
      <c r="I1504" s="1810"/>
      <c r="J1504" s="1810"/>
      <c r="K1504" s="1810"/>
      <c r="M1504" s="1349"/>
    </row>
    <row r="1505" spans="2:13">
      <c r="B1505" s="1890" t="s">
        <v>267</v>
      </c>
      <c r="C1505" s="1812" t="s">
        <v>256</v>
      </c>
      <c r="D1505" s="1887"/>
      <c r="E1505" s="1887"/>
      <c r="F1505" s="2002"/>
      <c r="G1505" s="2002"/>
      <c r="H1505" s="2002"/>
      <c r="I1505" s="1810"/>
      <c r="J1505" s="1810"/>
      <c r="K1505" s="1810"/>
      <c r="M1505" s="1349"/>
    </row>
    <row r="1506" spans="2:13">
      <c r="B1506" s="1890" t="s">
        <v>269</v>
      </c>
      <c r="C1506" s="1812" t="s">
        <v>2105</v>
      </c>
      <c r="D1506" s="1887"/>
      <c r="E1506" s="1887"/>
      <c r="F1506" s="2002"/>
      <c r="G1506" s="2002"/>
      <c r="H1506" s="2002"/>
      <c r="I1506" s="1810"/>
      <c r="J1506" s="1810"/>
      <c r="K1506" s="1810"/>
      <c r="M1506" s="1349"/>
    </row>
    <row r="1507" spans="2:13">
      <c r="B1507" s="1890" t="s">
        <v>1339</v>
      </c>
      <c r="C1507" s="1813" t="s">
        <v>2106</v>
      </c>
      <c r="D1507" s="1887"/>
      <c r="E1507" s="1887"/>
      <c r="F1507" s="2002"/>
      <c r="G1507" s="2002"/>
      <c r="H1507" s="2002"/>
      <c r="I1507" s="1810"/>
      <c r="J1507" s="1810"/>
      <c r="K1507" s="1810"/>
      <c r="M1507" s="1349"/>
    </row>
    <row r="1508" spans="2:13">
      <c r="B1508" s="1890" t="s">
        <v>676</v>
      </c>
      <c r="C1508" s="1813" t="s">
        <v>2107</v>
      </c>
      <c r="D1508" s="1887"/>
      <c r="E1508" s="1887"/>
      <c r="F1508" s="2002"/>
      <c r="G1508" s="2002"/>
      <c r="H1508" s="2002"/>
      <c r="I1508" s="1810"/>
      <c r="J1508" s="1810"/>
      <c r="K1508" s="1810"/>
      <c r="M1508" s="1349"/>
    </row>
    <row r="1509" spans="2:13">
      <c r="B1509" s="1890" t="s">
        <v>270</v>
      </c>
      <c r="C1509" s="1812" t="s">
        <v>2108</v>
      </c>
      <c r="D1509" s="1887"/>
      <c r="E1509" s="1887"/>
      <c r="F1509" s="2002"/>
      <c r="G1509" s="2002"/>
      <c r="H1509" s="2002"/>
      <c r="I1509" s="1810"/>
      <c r="J1509" s="1810"/>
      <c r="K1509" s="1810"/>
      <c r="M1509" s="1349"/>
    </row>
    <row r="1510" spans="2:13">
      <c r="B1510" s="1890" t="s">
        <v>272</v>
      </c>
      <c r="C1510" s="1813" t="s">
        <v>2109</v>
      </c>
      <c r="D1510" s="1887"/>
      <c r="E1510" s="1887"/>
      <c r="F1510" s="2002"/>
      <c r="G1510" s="2002"/>
      <c r="H1510" s="2002"/>
      <c r="I1510" s="1810"/>
      <c r="J1510" s="1810"/>
      <c r="K1510" s="1810"/>
      <c r="M1510" s="1349"/>
    </row>
    <row r="1511" spans="2:13">
      <c r="B1511" s="1890" t="s">
        <v>277</v>
      </c>
      <c r="C1511" s="1813" t="s">
        <v>2110</v>
      </c>
      <c r="D1511" s="1887"/>
      <c r="E1511" s="1887"/>
      <c r="F1511" s="2002"/>
      <c r="G1511" s="2002"/>
      <c r="H1511" s="2002"/>
      <c r="I1511" s="1810"/>
      <c r="J1511" s="1810"/>
      <c r="K1511" s="1810"/>
      <c r="M1511" s="1349"/>
    </row>
    <row r="1512" spans="2:13">
      <c r="B1512" s="1890" t="s">
        <v>279</v>
      </c>
      <c r="C1512" s="1813" t="s">
        <v>2107</v>
      </c>
      <c r="D1512" s="1887"/>
      <c r="E1512" s="1887"/>
      <c r="F1512" s="2002"/>
      <c r="G1512" s="2002"/>
      <c r="H1512" s="2002"/>
      <c r="I1512" s="1810"/>
      <c r="J1512" s="1810"/>
      <c r="K1512" s="1810"/>
      <c r="M1512" s="1349"/>
    </row>
    <row r="1513" spans="2:13" ht="15.75" customHeight="1">
      <c r="B1513" s="1999" t="s">
        <v>2112</v>
      </c>
      <c r="C1513" s="2000"/>
      <c r="D1513" s="2000"/>
      <c r="E1513" s="2000"/>
      <c r="F1513" s="2000"/>
      <c r="G1513" s="2000"/>
      <c r="H1513" s="2001"/>
      <c r="I1513" s="1810"/>
      <c r="J1513" s="1810"/>
      <c r="K1513" s="1810"/>
      <c r="M1513" s="1349"/>
    </row>
    <row r="1514" spans="2:13">
      <c r="B1514" s="1890" t="s">
        <v>267</v>
      </c>
      <c r="C1514" s="1812" t="s">
        <v>256</v>
      </c>
      <c r="D1514" s="1887"/>
      <c r="E1514" s="1887"/>
      <c r="F1514" s="2002"/>
      <c r="G1514" s="2002"/>
      <c r="H1514" s="2002"/>
      <c r="I1514" s="1810"/>
      <c r="J1514" s="1810"/>
      <c r="K1514" s="1810"/>
      <c r="M1514" s="1349"/>
    </row>
    <row r="1515" spans="2:13">
      <c r="B1515" s="1890" t="s">
        <v>269</v>
      </c>
      <c r="C1515" s="1812" t="s">
        <v>2105</v>
      </c>
      <c r="D1515" s="1887"/>
      <c r="E1515" s="1887"/>
      <c r="F1515" s="2002"/>
      <c r="G1515" s="2002"/>
      <c r="H1515" s="2002"/>
      <c r="I1515" s="1810"/>
      <c r="J1515" s="1810"/>
      <c r="K1515" s="1810"/>
      <c r="M1515" s="1349"/>
    </row>
    <row r="1516" spans="2:13">
      <c r="B1516" s="1890" t="s">
        <v>1339</v>
      </c>
      <c r="C1516" s="1813" t="s">
        <v>2106</v>
      </c>
      <c r="D1516" s="1887"/>
      <c r="E1516" s="1887"/>
      <c r="F1516" s="2002"/>
      <c r="G1516" s="2002"/>
      <c r="H1516" s="2002"/>
      <c r="I1516" s="1810"/>
      <c r="J1516" s="1810"/>
      <c r="K1516" s="1810"/>
      <c r="M1516" s="1349"/>
    </row>
    <row r="1517" spans="2:13">
      <c r="B1517" s="1890" t="s">
        <v>676</v>
      </c>
      <c r="C1517" s="1813" t="s">
        <v>2107</v>
      </c>
      <c r="D1517" s="1887"/>
      <c r="E1517" s="1887"/>
      <c r="F1517" s="2002"/>
      <c r="G1517" s="2002"/>
      <c r="H1517" s="2002"/>
      <c r="I1517" s="1810"/>
      <c r="J1517" s="1810"/>
      <c r="K1517" s="1810"/>
      <c r="M1517" s="1349"/>
    </row>
    <row r="1518" spans="2:13">
      <c r="B1518" s="1890" t="s">
        <v>270</v>
      </c>
      <c r="C1518" s="1812" t="s">
        <v>2108</v>
      </c>
      <c r="D1518" s="1887"/>
      <c r="E1518" s="1887"/>
      <c r="F1518" s="2002"/>
      <c r="G1518" s="2002"/>
      <c r="H1518" s="2002"/>
      <c r="I1518" s="1810"/>
      <c r="J1518" s="1810"/>
      <c r="K1518" s="1810"/>
      <c r="M1518" s="1349"/>
    </row>
    <row r="1519" spans="2:13">
      <c r="B1519" s="1890" t="s">
        <v>272</v>
      </c>
      <c r="C1519" s="1813" t="s">
        <v>2109</v>
      </c>
      <c r="D1519" s="1887"/>
      <c r="E1519" s="1887"/>
      <c r="F1519" s="2002"/>
      <c r="G1519" s="2002"/>
      <c r="H1519" s="2002"/>
      <c r="I1519" s="1810"/>
      <c r="J1519" s="1810"/>
      <c r="K1519" s="1810"/>
      <c r="M1519" s="1349"/>
    </row>
    <row r="1520" spans="2:13">
      <c r="B1520" s="1890" t="s">
        <v>277</v>
      </c>
      <c r="C1520" s="1813" t="s">
        <v>2110</v>
      </c>
      <c r="D1520" s="1887"/>
      <c r="E1520" s="1887"/>
      <c r="F1520" s="2002"/>
      <c r="G1520" s="2002"/>
      <c r="H1520" s="2002"/>
      <c r="I1520" s="1810"/>
      <c r="J1520" s="1810"/>
      <c r="K1520" s="1810"/>
      <c r="M1520" s="1349"/>
    </row>
    <row r="1521" spans="2:13">
      <c r="B1521" s="1890" t="s">
        <v>279</v>
      </c>
      <c r="C1521" s="1813" t="s">
        <v>2107</v>
      </c>
      <c r="D1521" s="1887"/>
      <c r="E1521" s="1887"/>
      <c r="F1521" s="2002"/>
      <c r="G1521" s="2002"/>
      <c r="H1521" s="2002"/>
      <c r="I1521" s="1810"/>
      <c r="J1521" s="1810"/>
      <c r="K1521" s="1810"/>
      <c r="M1521" s="1349"/>
    </row>
    <row r="1522" spans="2:13" ht="15.75" customHeight="1">
      <c r="B1522" s="1999" t="s">
        <v>2113</v>
      </c>
      <c r="C1522" s="2000"/>
      <c r="D1522" s="2000"/>
      <c r="E1522" s="2000"/>
      <c r="F1522" s="2000"/>
      <c r="G1522" s="2000"/>
      <c r="H1522" s="2001"/>
      <c r="I1522" s="1810"/>
      <c r="J1522" s="1810"/>
      <c r="K1522" s="1810"/>
      <c r="M1522" s="1349"/>
    </row>
    <row r="1523" spans="2:13">
      <c r="B1523" s="1890" t="s">
        <v>267</v>
      </c>
      <c r="C1523" s="1812" t="s">
        <v>256</v>
      </c>
      <c r="D1523" s="1887"/>
      <c r="E1523" s="1887"/>
      <c r="F1523" s="2002"/>
      <c r="G1523" s="2002"/>
      <c r="H1523" s="2002"/>
      <c r="I1523" s="1810"/>
      <c r="J1523" s="1810"/>
      <c r="K1523" s="1810"/>
      <c r="M1523" s="1349"/>
    </row>
    <row r="1524" spans="2:13">
      <c r="B1524" s="1890" t="s">
        <v>269</v>
      </c>
      <c r="C1524" s="1812" t="s">
        <v>2105</v>
      </c>
      <c r="D1524" s="1887"/>
      <c r="E1524" s="1887"/>
      <c r="F1524" s="2002"/>
      <c r="G1524" s="2002"/>
      <c r="H1524" s="2002"/>
      <c r="I1524" s="1810"/>
      <c r="J1524" s="1810"/>
      <c r="K1524" s="1810"/>
      <c r="M1524" s="1349"/>
    </row>
    <row r="1525" spans="2:13">
      <c r="B1525" s="1890" t="s">
        <v>1339</v>
      </c>
      <c r="C1525" s="1813" t="s">
        <v>2106</v>
      </c>
      <c r="D1525" s="1887"/>
      <c r="E1525" s="1887"/>
      <c r="F1525" s="2002"/>
      <c r="G1525" s="2002"/>
      <c r="H1525" s="2002"/>
      <c r="I1525" s="1810"/>
      <c r="J1525" s="1810"/>
      <c r="K1525" s="1810"/>
      <c r="M1525" s="1349"/>
    </row>
    <row r="1526" spans="2:13">
      <c r="B1526" s="1890" t="s">
        <v>676</v>
      </c>
      <c r="C1526" s="1813" t="s">
        <v>2107</v>
      </c>
      <c r="D1526" s="1887"/>
      <c r="E1526" s="1887"/>
      <c r="F1526" s="2002"/>
      <c r="G1526" s="2002"/>
      <c r="H1526" s="2002"/>
      <c r="I1526" s="1810"/>
      <c r="J1526" s="1810"/>
      <c r="K1526" s="1810"/>
      <c r="M1526" s="1349"/>
    </row>
    <row r="1527" spans="2:13">
      <c r="B1527" s="1890" t="s">
        <v>270</v>
      </c>
      <c r="C1527" s="1812" t="s">
        <v>2108</v>
      </c>
      <c r="D1527" s="1887"/>
      <c r="E1527" s="1887"/>
      <c r="F1527" s="2002"/>
      <c r="G1527" s="2002"/>
      <c r="H1527" s="2002"/>
      <c r="I1527" s="1810"/>
      <c r="J1527" s="1810"/>
      <c r="K1527" s="1810"/>
      <c r="M1527" s="1349"/>
    </row>
    <row r="1528" spans="2:13">
      <c r="B1528" s="1890" t="s">
        <v>272</v>
      </c>
      <c r="C1528" s="1813" t="s">
        <v>2109</v>
      </c>
      <c r="D1528" s="1887"/>
      <c r="E1528" s="1887"/>
      <c r="F1528" s="2002"/>
      <c r="G1528" s="2002"/>
      <c r="H1528" s="2002"/>
      <c r="I1528" s="1810"/>
      <c r="J1528" s="1810"/>
      <c r="K1528" s="1810"/>
      <c r="M1528" s="1349"/>
    </row>
    <row r="1529" spans="2:13">
      <c r="B1529" s="1890" t="s">
        <v>277</v>
      </c>
      <c r="C1529" s="1813" t="s">
        <v>2110</v>
      </c>
      <c r="D1529" s="1887"/>
      <c r="E1529" s="1887"/>
      <c r="F1529" s="2002"/>
      <c r="G1529" s="2002"/>
      <c r="H1529" s="2002"/>
      <c r="I1529" s="1810"/>
      <c r="J1529" s="1810"/>
      <c r="K1529" s="1810"/>
      <c r="M1529" s="1349"/>
    </row>
    <row r="1530" spans="2:13">
      <c r="B1530" s="1890" t="s">
        <v>279</v>
      </c>
      <c r="C1530" s="1813" t="s">
        <v>2107</v>
      </c>
      <c r="D1530" s="1887"/>
      <c r="E1530" s="1887"/>
      <c r="F1530" s="2002"/>
      <c r="G1530" s="2002"/>
      <c r="H1530" s="2002"/>
      <c r="I1530" s="1810"/>
      <c r="J1530" s="1810"/>
      <c r="K1530" s="1810"/>
      <c r="M1530" s="1349"/>
    </row>
    <row r="1531" spans="2:13" ht="15.75" customHeight="1">
      <c r="B1531" s="1999" t="s">
        <v>2114</v>
      </c>
      <c r="C1531" s="2000"/>
      <c r="D1531" s="2000"/>
      <c r="E1531" s="2000"/>
      <c r="F1531" s="2000"/>
      <c r="G1531" s="2000"/>
      <c r="H1531" s="2001"/>
      <c r="I1531" s="1810"/>
      <c r="J1531" s="1810"/>
      <c r="K1531" s="1810"/>
      <c r="M1531" s="1349"/>
    </row>
    <row r="1532" spans="2:13">
      <c r="B1532" s="1890" t="s">
        <v>267</v>
      </c>
      <c r="C1532" s="1812" t="s">
        <v>256</v>
      </c>
      <c r="D1532" s="1887"/>
      <c r="E1532" s="1887"/>
      <c r="F1532" s="2002"/>
      <c r="G1532" s="2002"/>
      <c r="H1532" s="2002"/>
      <c r="I1532" s="1810"/>
      <c r="J1532" s="1810"/>
      <c r="K1532" s="1810"/>
      <c r="M1532" s="1349"/>
    </row>
    <row r="1533" spans="2:13">
      <c r="B1533" s="1890" t="s">
        <v>269</v>
      </c>
      <c r="C1533" s="1812" t="s">
        <v>2105</v>
      </c>
      <c r="D1533" s="1887"/>
      <c r="E1533" s="1887"/>
      <c r="F1533" s="2002"/>
      <c r="G1533" s="2002"/>
      <c r="H1533" s="2002"/>
      <c r="I1533" s="1810"/>
      <c r="J1533" s="1810"/>
      <c r="K1533" s="1810"/>
      <c r="M1533" s="1349"/>
    </row>
    <row r="1534" spans="2:13">
      <c r="B1534" s="1890" t="s">
        <v>1339</v>
      </c>
      <c r="C1534" s="1813" t="s">
        <v>2106</v>
      </c>
      <c r="D1534" s="1887"/>
      <c r="E1534" s="1887"/>
      <c r="F1534" s="2002"/>
      <c r="G1534" s="2002"/>
      <c r="H1534" s="2002"/>
      <c r="I1534" s="1810"/>
      <c r="J1534" s="1810"/>
      <c r="K1534" s="1810"/>
      <c r="M1534" s="1349"/>
    </row>
    <row r="1535" spans="2:13">
      <c r="B1535" s="1890" t="s">
        <v>676</v>
      </c>
      <c r="C1535" s="1813" t="s">
        <v>2107</v>
      </c>
      <c r="D1535" s="1887"/>
      <c r="E1535" s="1887"/>
      <c r="F1535" s="2002"/>
      <c r="G1535" s="2002"/>
      <c r="H1535" s="2002"/>
      <c r="I1535" s="1810"/>
      <c r="J1535" s="1810"/>
      <c r="K1535" s="1810"/>
      <c r="M1535" s="1349"/>
    </row>
    <row r="1536" spans="2:13">
      <c r="B1536" s="1890" t="s">
        <v>270</v>
      </c>
      <c r="C1536" s="1812" t="s">
        <v>2108</v>
      </c>
      <c r="D1536" s="1887"/>
      <c r="E1536" s="1887"/>
      <c r="F1536" s="2002"/>
      <c r="G1536" s="2002"/>
      <c r="H1536" s="2002"/>
      <c r="I1536" s="1810"/>
      <c r="J1536" s="1810"/>
      <c r="K1536" s="1810"/>
      <c r="M1536" s="1349"/>
    </row>
    <row r="1537" spans="2:13">
      <c r="B1537" s="1890" t="s">
        <v>272</v>
      </c>
      <c r="C1537" s="1813" t="s">
        <v>2109</v>
      </c>
      <c r="D1537" s="1887"/>
      <c r="E1537" s="1887"/>
      <c r="F1537" s="2002"/>
      <c r="G1537" s="2002"/>
      <c r="H1537" s="2002"/>
      <c r="I1537" s="1810"/>
      <c r="J1537" s="1810"/>
      <c r="K1537" s="1810"/>
      <c r="M1537" s="1349"/>
    </row>
    <row r="1538" spans="2:13">
      <c r="B1538" s="1890" t="s">
        <v>277</v>
      </c>
      <c r="C1538" s="1813" t="s">
        <v>2110</v>
      </c>
      <c r="D1538" s="1887"/>
      <c r="E1538" s="1887"/>
      <c r="F1538" s="2002"/>
      <c r="G1538" s="2002"/>
      <c r="H1538" s="2002"/>
      <c r="I1538" s="1810"/>
      <c r="J1538" s="1810"/>
      <c r="K1538" s="1810"/>
      <c r="M1538" s="1349"/>
    </row>
    <row r="1539" spans="2:13">
      <c r="B1539" s="1890" t="s">
        <v>279</v>
      </c>
      <c r="C1539" s="1813" t="s">
        <v>2107</v>
      </c>
      <c r="D1539" s="1887"/>
      <c r="E1539" s="1887"/>
      <c r="F1539" s="2002"/>
      <c r="G1539" s="2002"/>
      <c r="H1539" s="2002"/>
      <c r="I1539" s="1810"/>
      <c r="J1539" s="1810"/>
      <c r="K1539" s="1810"/>
      <c r="M1539" s="1349"/>
    </row>
    <row r="1540" spans="2:13" ht="15.75" customHeight="1">
      <c r="B1540" s="1999" t="s">
        <v>2115</v>
      </c>
      <c r="C1540" s="2000"/>
      <c r="D1540" s="2000"/>
      <c r="E1540" s="2000"/>
      <c r="F1540" s="2000"/>
      <c r="G1540" s="2000"/>
      <c r="H1540" s="2001"/>
      <c r="I1540" s="1810"/>
      <c r="J1540" s="1810"/>
      <c r="K1540" s="1810"/>
      <c r="M1540" s="1349"/>
    </row>
    <row r="1541" spans="2:13">
      <c r="B1541" s="1890" t="s">
        <v>267</v>
      </c>
      <c r="C1541" s="1812" t="s">
        <v>256</v>
      </c>
      <c r="D1541" s="1887"/>
      <c r="E1541" s="1887"/>
      <c r="F1541" s="2002"/>
      <c r="G1541" s="2002"/>
      <c r="H1541" s="2002"/>
      <c r="I1541" s="1810"/>
      <c r="J1541" s="1810"/>
      <c r="K1541" s="1810"/>
      <c r="M1541" s="1349"/>
    </row>
    <row r="1542" spans="2:13">
      <c r="B1542" s="1890" t="s">
        <v>269</v>
      </c>
      <c r="C1542" s="1812" t="s">
        <v>2105</v>
      </c>
      <c r="D1542" s="1887"/>
      <c r="E1542" s="1887"/>
      <c r="F1542" s="2002"/>
      <c r="G1542" s="2002"/>
      <c r="H1542" s="2002"/>
      <c r="I1542" s="1810"/>
      <c r="J1542" s="1810"/>
      <c r="K1542" s="1810"/>
      <c r="M1542" s="1349"/>
    </row>
    <row r="1543" spans="2:13">
      <c r="B1543" s="1890" t="s">
        <v>1339</v>
      </c>
      <c r="C1543" s="1813" t="s">
        <v>2106</v>
      </c>
      <c r="D1543" s="1887"/>
      <c r="E1543" s="1887"/>
      <c r="F1543" s="2002"/>
      <c r="G1543" s="2002"/>
      <c r="H1543" s="2002"/>
      <c r="I1543" s="1810"/>
      <c r="J1543" s="1810"/>
      <c r="K1543" s="1810"/>
      <c r="M1543" s="1349"/>
    </row>
    <row r="1544" spans="2:13">
      <c r="B1544" s="1890" t="s">
        <v>676</v>
      </c>
      <c r="C1544" s="1813" t="s">
        <v>2107</v>
      </c>
      <c r="D1544" s="1887"/>
      <c r="E1544" s="1887"/>
      <c r="F1544" s="2002"/>
      <c r="G1544" s="2002"/>
      <c r="H1544" s="2002"/>
      <c r="I1544" s="1810"/>
      <c r="J1544" s="1810"/>
      <c r="K1544" s="1810"/>
      <c r="M1544" s="1349"/>
    </row>
    <row r="1545" spans="2:13">
      <c r="B1545" s="1890" t="s">
        <v>270</v>
      </c>
      <c r="C1545" s="1812" t="s">
        <v>2108</v>
      </c>
      <c r="D1545" s="1887"/>
      <c r="E1545" s="1887"/>
      <c r="F1545" s="2002"/>
      <c r="G1545" s="2002"/>
      <c r="H1545" s="2002"/>
      <c r="I1545" s="1810"/>
      <c r="J1545" s="1810"/>
      <c r="K1545" s="1810"/>
      <c r="M1545" s="1349"/>
    </row>
    <row r="1546" spans="2:13">
      <c r="B1546" s="1890" t="s">
        <v>272</v>
      </c>
      <c r="C1546" s="1813" t="s">
        <v>2109</v>
      </c>
      <c r="D1546" s="1887"/>
      <c r="E1546" s="1887"/>
      <c r="F1546" s="2002"/>
      <c r="G1546" s="2002"/>
      <c r="H1546" s="2002"/>
      <c r="I1546" s="1810"/>
      <c r="J1546" s="1810"/>
      <c r="K1546" s="1810"/>
      <c r="M1546" s="1349"/>
    </row>
    <row r="1547" spans="2:13">
      <c r="B1547" s="1890" t="s">
        <v>277</v>
      </c>
      <c r="C1547" s="1813" t="s">
        <v>2110</v>
      </c>
      <c r="D1547" s="1887"/>
      <c r="E1547" s="1887"/>
      <c r="F1547" s="2002"/>
      <c r="G1547" s="2002"/>
      <c r="H1547" s="2002"/>
      <c r="I1547" s="1810"/>
      <c r="J1547" s="1810"/>
      <c r="K1547" s="1810"/>
      <c r="M1547" s="1349"/>
    </row>
    <row r="1548" spans="2:13">
      <c r="B1548" s="1890" t="s">
        <v>279</v>
      </c>
      <c r="C1548" s="1813" t="s">
        <v>2107</v>
      </c>
      <c r="D1548" s="1887"/>
      <c r="E1548" s="1887"/>
      <c r="F1548" s="2002"/>
      <c r="G1548" s="2002"/>
      <c r="H1548" s="2002"/>
      <c r="I1548" s="1810"/>
      <c r="J1548" s="1810"/>
      <c r="K1548" s="1810"/>
      <c r="M1548" s="1349"/>
    </row>
    <row r="1549" spans="2:13" ht="15.75" customHeight="1">
      <c r="B1549" s="1999" t="s">
        <v>2116</v>
      </c>
      <c r="C1549" s="2000"/>
      <c r="D1549" s="2000"/>
      <c r="E1549" s="2000"/>
      <c r="F1549" s="2000"/>
      <c r="G1549" s="2000"/>
      <c r="H1549" s="2001"/>
      <c r="I1549" s="1810"/>
      <c r="J1549" s="1810"/>
      <c r="K1549" s="1810"/>
      <c r="M1549" s="1349"/>
    </row>
    <row r="1550" spans="2:13">
      <c r="B1550" s="1890" t="s">
        <v>267</v>
      </c>
      <c r="C1550" s="1812" t="s">
        <v>256</v>
      </c>
      <c r="D1550" s="1887"/>
      <c r="E1550" s="1887"/>
      <c r="F1550" s="2002"/>
      <c r="G1550" s="2002"/>
      <c r="H1550" s="2002"/>
      <c r="I1550" s="1810"/>
      <c r="J1550" s="1810"/>
      <c r="K1550" s="1810"/>
      <c r="M1550" s="1349"/>
    </row>
    <row r="1551" spans="2:13">
      <c r="B1551" s="1890" t="s">
        <v>269</v>
      </c>
      <c r="C1551" s="1812" t="s">
        <v>2105</v>
      </c>
      <c r="D1551" s="1887"/>
      <c r="E1551" s="1887"/>
      <c r="F1551" s="2002"/>
      <c r="G1551" s="2002"/>
      <c r="H1551" s="2002"/>
      <c r="I1551" s="1810"/>
      <c r="J1551" s="1810"/>
      <c r="K1551" s="1810"/>
      <c r="M1551" s="1349"/>
    </row>
    <row r="1552" spans="2:13">
      <c r="B1552" s="1890" t="s">
        <v>1339</v>
      </c>
      <c r="C1552" s="1813" t="s">
        <v>2106</v>
      </c>
      <c r="D1552" s="1887"/>
      <c r="E1552" s="1887"/>
      <c r="F1552" s="2002"/>
      <c r="G1552" s="2002"/>
      <c r="H1552" s="2002"/>
      <c r="I1552" s="1810"/>
      <c r="J1552" s="1810"/>
      <c r="K1552" s="1810"/>
      <c r="M1552" s="1349"/>
    </row>
    <row r="1553" spans="2:13">
      <c r="B1553" s="1890" t="s">
        <v>676</v>
      </c>
      <c r="C1553" s="1813" t="s">
        <v>2107</v>
      </c>
      <c r="D1553" s="1887"/>
      <c r="E1553" s="1887"/>
      <c r="F1553" s="2002"/>
      <c r="G1553" s="2002"/>
      <c r="H1553" s="2002"/>
      <c r="I1553" s="1810"/>
      <c r="J1553" s="1810"/>
      <c r="K1553" s="1810"/>
      <c r="M1553" s="1349"/>
    </row>
    <row r="1554" spans="2:13">
      <c r="B1554" s="1890" t="s">
        <v>270</v>
      </c>
      <c r="C1554" s="1812" t="s">
        <v>2108</v>
      </c>
      <c r="D1554" s="1887"/>
      <c r="E1554" s="1887"/>
      <c r="F1554" s="2002"/>
      <c r="G1554" s="2002"/>
      <c r="H1554" s="2002"/>
      <c r="I1554" s="1810"/>
      <c r="J1554" s="1810"/>
      <c r="K1554" s="1810"/>
      <c r="M1554" s="1349"/>
    </row>
    <row r="1555" spans="2:13">
      <c r="B1555" s="1890" t="s">
        <v>272</v>
      </c>
      <c r="C1555" s="1813" t="s">
        <v>2109</v>
      </c>
      <c r="D1555" s="1887"/>
      <c r="E1555" s="1887"/>
      <c r="F1555" s="2002"/>
      <c r="G1555" s="2002"/>
      <c r="H1555" s="2002"/>
      <c r="I1555" s="1810"/>
      <c r="J1555" s="1810"/>
      <c r="K1555" s="1810"/>
      <c r="M1555" s="1349"/>
    </row>
    <row r="1556" spans="2:13">
      <c r="B1556" s="1890" t="s">
        <v>277</v>
      </c>
      <c r="C1556" s="1813" t="s">
        <v>2110</v>
      </c>
      <c r="D1556" s="1887"/>
      <c r="E1556" s="1887"/>
      <c r="F1556" s="2002"/>
      <c r="G1556" s="2002"/>
      <c r="H1556" s="2002"/>
      <c r="I1556" s="1810"/>
      <c r="J1556" s="1810"/>
      <c r="K1556" s="1810"/>
      <c r="M1556" s="1349"/>
    </row>
    <row r="1557" spans="2:13">
      <c r="B1557" s="1890" t="s">
        <v>279</v>
      </c>
      <c r="C1557" s="1813" t="s">
        <v>2107</v>
      </c>
      <c r="D1557" s="1887"/>
      <c r="E1557" s="1887"/>
      <c r="F1557" s="2002"/>
      <c r="G1557" s="2002"/>
      <c r="H1557" s="2002"/>
      <c r="I1557" s="1810"/>
      <c r="J1557" s="1810"/>
      <c r="K1557" s="1810"/>
      <c r="M1557" s="1349"/>
    </row>
    <row r="1558" spans="2:13" ht="15.75" customHeight="1">
      <c r="B1558" s="1999" t="s">
        <v>2117</v>
      </c>
      <c r="C1558" s="2000"/>
      <c r="D1558" s="2000"/>
      <c r="E1558" s="2000"/>
      <c r="F1558" s="2000"/>
      <c r="G1558" s="2000"/>
      <c r="H1558" s="2001"/>
      <c r="I1558" s="1810"/>
      <c r="J1558" s="1810"/>
      <c r="K1558" s="1810"/>
      <c r="M1558" s="1349"/>
    </row>
    <row r="1559" spans="2:13">
      <c r="B1559" s="1890" t="s">
        <v>267</v>
      </c>
      <c r="C1559" s="1812" t="s">
        <v>256</v>
      </c>
      <c r="D1559" s="1887"/>
      <c r="E1559" s="1887"/>
      <c r="F1559" s="2002"/>
      <c r="G1559" s="2002"/>
      <c r="H1559" s="2002"/>
      <c r="I1559" s="1810"/>
      <c r="J1559" s="1810"/>
      <c r="K1559" s="1810"/>
      <c r="M1559" s="1349"/>
    </row>
    <row r="1560" spans="2:13">
      <c r="B1560" s="1890" t="s">
        <v>269</v>
      </c>
      <c r="C1560" s="1812" t="s">
        <v>2105</v>
      </c>
      <c r="D1560" s="1887"/>
      <c r="E1560" s="1887"/>
      <c r="F1560" s="2002"/>
      <c r="G1560" s="2002"/>
      <c r="H1560" s="2002"/>
      <c r="I1560" s="1810"/>
      <c r="J1560" s="1810"/>
      <c r="K1560" s="1810"/>
      <c r="M1560" s="1349"/>
    </row>
    <row r="1561" spans="2:13">
      <c r="B1561" s="1890" t="s">
        <v>1339</v>
      </c>
      <c r="C1561" s="1813" t="s">
        <v>2106</v>
      </c>
      <c r="D1561" s="1887"/>
      <c r="E1561" s="1887"/>
      <c r="F1561" s="2002"/>
      <c r="G1561" s="2002"/>
      <c r="H1561" s="2002"/>
      <c r="I1561" s="1810"/>
      <c r="J1561" s="1810"/>
      <c r="K1561" s="1810"/>
      <c r="M1561" s="1349"/>
    </row>
    <row r="1562" spans="2:13">
      <c r="B1562" s="1890" t="s">
        <v>676</v>
      </c>
      <c r="C1562" s="1813" t="s">
        <v>2107</v>
      </c>
      <c r="D1562" s="1887"/>
      <c r="E1562" s="1887"/>
      <c r="F1562" s="2002"/>
      <c r="G1562" s="2002"/>
      <c r="H1562" s="2002"/>
      <c r="I1562" s="1810"/>
      <c r="J1562" s="1810"/>
      <c r="K1562" s="1810"/>
      <c r="M1562" s="1349"/>
    </row>
    <row r="1563" spans="2:13">
      <c r="B1563" s="1890" t="s">
        <v>270</v>
      </c>
      <c r="C1563" s="1812" t="s">
        <v>2108</v>
      </c>
      <c r="D1563" s="1887"/>
      <c r="E1563" s="1887"/>
      <c r="F1563" s="2002"/>
      <c r="G1563" s="2002"/>
      <c r="H1563" s="2002"/>
      <c r="I1563" s="1810"/>
      <c r="J1563" s="1810"/>
      <c r="K1563" s="1810"/>
      <c r="M1563" s="1349"/>
    </row>
    <row r="1564" spans="2:13">
      <c r="B1564" s="1890" t="s">
        <v>272</v>
      </c>
      <c r="C1564" s="1813" t="s">
        <v>2109</v>
      </c>
      <c r="D1564" s="1887"/>
      <c r="E1564" s="1887"/>
      <c r="F1564" s="2002"/>
      <c r="G1564" s="2002"/>
      <c r="H1564" s="2002"/>
      <c r="I1564" s="1810"/>
      <c r="J1564" s="1810"/>
      <c r="K1564" s="1810"/>
      <c r="M1564" s="1349"/>
    </row>
    <row r="1565" spans="2:13">
      <c r="B1565" s="1890" t="s">
        <v>277</v>
      </c>
      <c r="C1565" s="1813" t="s">
        <v>2110</v>
      </c>
      <c r="D1565" s="1887"/>
      <c r="E1565" s="1887"/>
      <c r="F1565" s="2002"/>
      <c r="G1565" s="2002"/>
      <c r="H1565" s="2002"/>
      <c r="I1565" s="1810"/>
      <c r="J1565" s="1810"/>
      <c r="K1565" s="1810"/>
      <c r="M1565" s="1349"/>
    </row>
    <row r="1566" spans="2:13">
      <c r="B1566" s="1890" t="s">
        <v>279</v>
      </c>
      <c r="C1566" s="1813" t="s">
        <v>2107</v>
      </c>
      <c r="D1566" s="1887"/>
      <c r="E1566" s="1887"/>
      <c r="F1566" s="2002"/>
      <c r="G1566" s="2002"/>
      <c r="H1566" s="2002"/>
      <c r="I1566" s="1810"/>
      <c r="J1566" s="1810"/>
      <c r="K1566" s="1810"/>
      <c r="M1566" s="1349"/>
    </row>
    <row r="1567" spans="2:13" ht="15.75" customHeight="1">
      <c r="B1567" s="1999" t="s">
        <v>2118</v>
      </c>
      <c r="C1567" s="2000"/>
      <c r="D1567" s="2000"/>
      <c r="E1567" s="2000"/>
      <c r="F1567" s="2000"/>
      <c r="G1567" s="2000"/>
      <c r="H1567" s="2001"/>
      <c r="I1567" s="1810"/>
      <c r="J1567" s="1810"/>
      <c r="K1567" s="1810"/>
      <c r="M1567" s="1349"/>
    </row>
    <row r="1568" spans="2:13">
      <c r="B1568" s="1890" t="s">
        <v>267</v>
      </c>
      <c r="C1568" s="1812" t="s">
        <v>256</v>
      </c>
      <c r="D1568" s="1887"/>
      <c r="E1568" s="1887"/>
      <c r="F1568" s="2002"/>
      <c r="G1568" s="2002"/>
      <c r="H1568" s="2002"/>
      <c r="I1568" s="1810"/>
      <c r="J1568" s="1810"/>
      <c r="K1568" s="1810"/>
      <c r="M1568" s="1349"/>
    </row>
    <row r="1569" spans="2:13">
      <c r="B1569" s="1890" t="s">
        <v>269</v>
      </c>
      <c r="C1569" s="1812" t="s">
        <v>2105</v>
      </c>
      <c r="D1569" s="1887"/>
      <c r="E1569" s="1887"/>
      <c r="F1569" s="2002"/>
      <c r="G1569" s="2002"/>
      <c r="H1569" s="2002"/>
      <c r="I1569" s="1810"/>
      <c r="J1569" s="1810"/>
      <c r="K1569" s="1810"/>
      <c r="M1569" s="1349"/>
    </row>
    <row r="1570" spans="2:13">
      <c r="B1570" s="1890" t="s">
        <v>1339</v>
      </c>
      <c r="C1570" s="1813" t="s">
        <v>2106</v>
      </c>
      <c r="D1570" s="1887"/>
      <c r="E1570" s="1887"/>
      <c r="F1570" s="2002"/>
      <c r="G1570" s="2002"/>
      <c r="H1570" s="2002"/>
      <c r="I1570" s="1810"/>
      <c r="J1570" s="1810"/>
      <c r="K1570" s="1810"/>
      <c r="M1570" s="1349"/>
    </row>
    <row r="1571" spans="2:13">
      <c r="B1571" s="1890" t="s">
        <v>676</v>
      </c>
      <c r="C1571" s="1813" t="s">
        <v>2107</v>
      </c>
      <c r="D1571" s="1887"/>
      <c r="E1571" s="1887"/>
      <c r="F1571" s="2002"/>
      <c r="G1571" s="2002"/>
      <c r="H1571" s="2002"/>
      <c r="I1571" s="1810"/>
      <c r="J1571" s="1810"/>
      <c r="K1571" s="1810"/>
      <c r="M1571" s="1349"/>
    </row>
    <row r="1572" spans="2:13">
      <c r="B1572" s="1890" t="s">
        <v>270</v>
      </c>
      <c r="C1572" s="1812" t="s">
        <v>2108</v>
      </c>
      <c r="D1572" s="1887"/>
      <c r="E1572" s="1887"/>
      <c r="F1572" s="2002"/>
      <c r="G1572" s="2002"/>
      <c r="H1572" s="2002"/>
      <c r="I1572" s="1810"/>
      <c r="J1572" s="1810"/>
      <c r="K1572" s="1810"/>
      <c r="M1572" s="1349"/>
    </row>
    <row r="1573" spans="2:13">
      <c r="B1573" s="1890" t="s">
        <v>272</v>
      </c>
      <c r="C1573" s="1813" t="s">
        <v>2109</v>
      </c>
      <c r="D1573" s="1887"/>
      <c r="E1573" s="1887"/>
      <c r="F1573" s="2002"/>
      <c r="G1573" s="2002"/>
      <c r="H1573" s="2002"/>
      <c r="I1573" s="1810"/>
      <c r="J1573" s="1810"/>
      <c r="K1573" s="1810"/>
      <c r="M1573" s="1349"/>
    </row>
    <row r="1574" spans="2:13">
      <c r="B1574" s="1890" t="s">
        <v>277</v>
      </c>
      <c r="C1574" s="1813" t="s">
        <v>2110</v>
      </c>
      <c r="D1574" s="1887"/>
      <c r="E1574" s="1887"/>
      <c r="F1574" s="2002"/>
      <c r="G1574" s="2002"/>
      <c r="H1574" s="2002"/>
      <c r="I1574" s="1810"/>
      <c r="J1574" s="1810"/>
      <c r="K1574" s="1810"/>
      <c r="M1574" s="1349"/>
    </row>
    <row r="1575" spans="2:13">
      <c r="B1575" s="1890" t="s">
        <v>279</v>
      </c>
      <c r="C1575" s="1813" t="s">
        <v>2107</v>
      </c>
      <c r="D1575" s="1887"/>
      <c r="E1575" s="1887"/>
      <c r="F1575" s="2002"/>
      <c r="G1575" s="2002"/>
      <c r="H1575" s="2002"/>
      <c r="I1575" s="1810"/>
      <c r="J1575" s="1810"/>
      <c r="K1575" s="1810"/>
      <c r="M1575" s="1349"/>
    </row>
    <row r="1576" spans="2:13" ht="15.75" customHeight="1">
      <c r="B1576" s="1999" t="s">
        <v>2119</v>
      </c>
      <c r="C1576" s="2000"/>
      <c r="D1576" s="2000"/>
      <c r="E1576" s="2000"/>
      <c r="F1576" s="2000"/>
      <c r="G1576" s="2000"/>
      <c r="H1576" s="2001"/>
      <c r="I1576" s="1810"/>
      <c r="J1576" s="1810"/>
      <c r="K1576" s="1810"/>
      <c r="M1576" s="1349"/>
    </row>
    <row r="1577" spans="2:13">
      <c r="B1577" s="1890" t="s">
        <v>267</v>
      </c>
      <c r="C1577" s="1812" t="s">
        <v>256</v>
      </c>
      <c r="D1577" s="1887"/>
      <c r="E1577" s="1887"/>
      <c r="F1577" s="2002"/>
      <c r="G1577" s="2002"/>
      <c r="H1577" s="2002"/>
      <c r="I1577" s="1810"/>
      <c r="J1577" s="1810"/>
      <c r="K1577" s="1810"/>
      <c r="M1577" s="1349"/>
    </row>
    <row r="1578" spans="2:13">
      <c r="B1578" s="1890" t="s">
        <v>269</v>
      </c>
      <c r="C1578" s="1812" t="s">
        <v>2105</v>
      </c>
      <c r="D1578" s="1887"/>
      <c r="E1578" s="1887"/>
      <c r="F1578" s="2002"/>
      <c r="G1578" s="2002"/>
      <c r="H1578" s="2002"/>
      <c r="I1578" s="1810"/>
      <c r="J1578" s="1810"/>
      <c r="K1578" s="1810"/>
      <c r="M1578" s="1349"/>
    </row>
    <row r="1579" spans="2:13">
      <c r="B1579" s="1890" t="s">
        <v>1339</v>
      </c>
      <c r="C1579" s="1813" t="s">
        <v>2106</v>
      </c>
      <c r="D1579" s="1887"/>
      <c r="E1579" s="1887"/>
      <c r="F1579" s="2002"/>
      <c r="G1579" s="2002"/>
      <c r="H1579" s="2002"/>
      <c r="I1579" s="1810"/>
      <c r="J1579" s="1810"/>
      <c r="K1579" s="1810"/>
      <c r="M1579" s="1349"/>
    </row>
    <row r="1580" spans="2:13">
      <c r="B1580" s="1890" t="s">
        <v>676</v>
      </c>
      <c r="C1580" s="1813" t="s">
        <v>2107</v>
      </c>
      <c r="D1580" s="1887"/>
      <c r="E1580" s="1887"/>
      <c r="F1580" s="2002"/>
      <c r="G1580" s="2002"/>
      <c r="H1580" s="2002"/>
      <c r="I1580" s="1810"/>
      <c r="J1580" s="1810"/>
      <c r="K1580" s="1810"/>
      <c r="M1580" s="1349"/>
    </row>
    <row r="1581" spans="2:13">
      <c r="B1581" s="1890" t="s">
        <v>270</v>
      </c>
      <c r="C1581" s="1812" t="s">
        <v>2108</v>
      </c>
      <c r="D1581" s="1887"/>
      <c r="E1581" s="1887"/>
      <c r="F1581" s="2002"/>
      <c r="G1581" s="2002"/>
      <c r="H1581" s="2002"/>
      <c r="I1581" s="1810"/>
      <c r="J1581" s="1810"/>
      <c r="K1581" s="1810"/>
      <c r="M1581" s="1349"/>
    </row>
    <row r="1582" spans="2:13">
      <c r="B1582" s="1890" t="s">
        <v>272</v>
      </c>
      <c r="C1582" s="1813" t="s">
        <v>2109</v>
      </c>
      <c r="D1582" s="1887"/>
      <c r="E1582" s="1887"/>
      <c r="F1582" s="2002"/>
      <c r="G1582" s="2002"/>
      <c r="H1582" s="2002"/>
      <c r="I1582" s="1810"/>
      <c r="J1582" s="1810"/>
      <c r="K1582" s="1810"/>
      <c r="M1582" s="1349"/>
    </row>
    <row r="1583" spans="2:13">
      <c r="B1583" s="1890" t="s">
        <v>277</v>
      </c>
      <c r="C1583" s="1813" t="s">
        <v>2110</v>
      </c>
      <c r="D1583" s="1887"/>
      <c r="E1583" s="1887"/>
      <c r="F1583" s="2002"/>
      <c r="G1583" s="2002"/>
      <c r="H1583" s="2002"/>
      <c r="I1583" s="1810"/>
      <c r="J1583" s="1810"/>
      <c r="K1583" s="1810"/>
      <c r="M1583" s="1349"/>
    </row>
    <row r="1584" spans="2:13">
      <c r="B1584" s="1890" t="s">
        <v>279</v>
      </c>
      <c r="C1584" s="1813" t="s">
        <v>2107</v>
      </c>
      <c r="D1584" s="1887"/>
      <c r="E1584" s="1887"/>
      <c r="F1584" s="2002"/>
      <c r="G1584" s="2002"/>
      <c r="H1584" s="2002"/>
      <c r="I1584" s="1810"/>
      <c r="J1584" s="1810"/>
      <c r="K1584" s="1810"/>
      <c r="M1584" s="1349"/>
    </row>
    <row r="1585" spans="2:13" ht="15.75" customHeight="1">
      <c r="B1585" s="1999" t="s">
        <v>2120</v>
      </c>
      <c r="C1585" s="2000"/>
      <c r="D1585" s="2000"/>
      <c r="E1585" s="2000"/>
      <c r="F1585" s="2000"/>
      <c r="G1585" s="2000"/>
      <c r="H1585" s="2001"/>
      <c r="I1585" s="1810"/>
      <c r="J1585" s="1810"/>
      <c r="K1585" s="1810"/>
      <c r="M1585" s="1349"/>
    </row>
    <row r="1586" spans="2:13">
      <c r="B1586" s="1890" t="s">
        <v>267</v>
      </c>
      <c r="C1586" s="1812" t="s">
        <v>256</v>
      </c>
      <c r="D1586" s="1887"/>
      <c r="E1586" s="1887"/>
      <c r="F1586" s="2002"/>
      <c r="G1586" s="2002"/>
      <c r="H1586" s="2002"/>
      <c r="I1586" s="1810"/>
      <c r="J1586" s="1810"/>
      <c r="K1586" s="1810"/>
      <c r="M1586" s="1349"/>
    </row>
    <row r="1587" spans="2:13">
      <c r="B1587" s="1890" t="s">
        <v>269</v>
      </c>
      <c r="C1587" s="1812" t="s">
        <v>2105</v>
      </c>
      <c r="D1587" s="1887"/>
      <c r="E1587" s="1887"/>
      <c r="F1587" s="2002"/>
      <c r="G1587" s="2002"/>
      <c r="H1587" s="2002"/>
      <c r="I1587" s="1810"/>
      <c r="J1587" s="1810"/>
      <c r="K1587" s="1810"/>
      <c r="M1587" s="1349"/>
    </row>
    <row r="1588" spans="2:13">
      <c r="B1588" s="1890" t="s">
        <v>1339</v>
      </c>
      <c r="C1588" s="1813" t="s">
        <v>2106</v>
      </c>
      <c r="D1588" s="1887"/>
      <c r="E1588" s="1887"/>
      <c r="F1588" s="2002"/>
      <c r="G1588" s="2002"/>
      <c r="H1588" s="2002"/>
      <c r="I1588" s="1810"/>
      <c r="J1588" s="1810"/>
      <c r="K1588" s="1810"/>
      <c r="M1588" s="1349"/>
    </row>
    <row r="1589" spans="2:13">
      <c r="B1589" s="1890" t="s">
        <v>676</v>
      </c>
      <c r="C1589" s="1813" t="s">
        <v>2107</v>
      </c>
      <c r="D1589" s="1887"/>
      <c r="E1589" s="1887"/>
      <c r="F1589" s="2002"/>
      <c r="G1589" s="2002"/>
      <c r="H1589" s="2002"/>
      <c r="I1589" s="1810"/>
      <c r="J1589" s="1810"/>
      <c r="K1589" s="1810"/>
      <c r="M1589" s="1349"/>
    </row>
    <row r="1590" spans="2:13">
      <c r="B1590" s="1890" t="s">
        <v>270</v>
      </c>
      <c r="C1590" s="1812" t="s">
        <v>2108</v>
      </c>
      <c r="D1590" s="1887"/>
      <c r="E1590" s="1887"/>
      <c r="F1590" s="2002"/>
      <c r="G1590" s="2002"/>
      <c r="H1590" s="2002"/>
      <c r="I1590" s="1810"/>
      <c r="J1590" s="1810"/>
      <c r="K1590" s="1810"/>
      <c r="M1590" s="1349"/>
    </row>
    <row r="1591" spans="2:13">
      <c r="B1591" s="1890" t="s">
        <v>272</v>
      </c>
      <c r="C1591" s="1813" t="s">
        <v>2109</v>
      </c>
      <c r="D1591" s="1887"/>
      <c r="E1591" s="1887"/>
      <c r="F1591" s="2002"/>
      <c r="G1591" s="2002"/>
      <c r="H1591" s="2002"/>
      <c r="I1591" s="1810"/>
      <c r="J1591" s="1810"/>
      <c r="K1591" s="1810"/>
      <c r="M1591" s="1349"/>
    </row>
    <row r="1592" spans="2:13">
      <c r="B1592" s="1890" t="s">
        <v>277</v>
      </c>
      <c r="C1592" s="1813" t="s">
        <v>2110</v>
      </c>
      <c r="D1592" s="1887"/>
      <c r="E1592" s="1887"/>
      <c r="F1592" s="2002"/>
      <c r="G1592" s="2002"/>
      <c r="H1592" s="2002"/>
      <c r="I1592" s="1810"/>
      <c r="J1592" s="1810"/>
      <c r="K1592" s="1810"/>
      <c r="M1592" s="1349"/>
    </row>
    <row r="1593" spans="2:13">
      <c r="B1593" s="1890" t="s">
        <v>279</v>
      </c>
      <c r="C1593" s="1813" t="s">
        <v>2107</v>
      </c>
      <c r="D1593" s="1887"/>
      <c r="E1593" s="1887"/>
      <c r="F1593" s="2002"/>
      <c r="G1593" s="2002"/>
      <c r="H1593" s="2002"/>
      <c r="I1593" s="1810"/>
      <c r="J1593" s="1810"/>
      <c r="K1593" s="1810"/>
      <c r="M1593" s="1349"/>
    </row>
    <row r="1594" spans="2:13" ht="15.75" customHeight="1">
      <c r="B1594" s="1999" t="s">
        <v>2121</v>
      </c>
      <c r="C1594" s="2000"/>
      <c r="D1594" s="2000"/>
      <c r="E1594" s="2000"/>
      <c r="F1594" s="2000"/>
      <c r="G1594" s="2000"/>
      <c r="H1594" s="2001"/>
      <c r="I1594" s="1810"/>
      <c r="J1594" s="1810"/>
      <c r="K1594" s="1810"/>
      <c r="M1594" s="1349"/>
    </row>
    <row r="1595" spans="2:13">
      <c r="B1595" s="1890" t="s">
        <v>267</v>
      </c>
      <c r="C1595" s="1812" t="s">
        <v>256</v>
      </c>
      <c r="D1595" s="1887"/>
      <c r="E1595" s="1887"/>
      <c r="F1595" s="2002"/>
      <c r="G1595" s="2002"/>
      <c r="H1595" s="2002"/>
      <c r="I1595" s="1810"/>
      <c r="J1595" s="1810"/>
      <c r="K1595" s="1810"/>
      <c r="M1595" s="1349"/>
    </row>
    <row r="1596" spans="2:13">
      <c r="B1596" s="1890" t="s">
        <v>269</v>
      </c>
      <c r="C1596" s="1812" t="s">
        <v>2105</v>
      </c>
      <c r="D1596" s="1887"/>
      <c r="E1596" s="1887"/>
      <c r="F1596" s="2002"/>
      <c r="G1596" s="2002"/>
      <c r="H1596" s="2002"/>
      <c r="I1596" s="1810"/>
      <c r="J1596" s="1810"/>
      <c r="K1596" s="1810"/>
      <c r="M1596" s="1349"/>
    </row>
    <row r="1597" spans="2:13">
      <c r="B1597" s="1890" t="s">
        <v>1339</v>
      </c>
      <c r="C1597" s="1813" t="s">
        <v>2106</v>
      </c>
      <c r="D1597" s="1887"/>
      <c r="E1597" s="1887"/>
      <c r="F1597" s="2002"/>
      <c r="G1597" s="2002"/>
      <c r="H1597" s="2002"/>
      <c r="I1597" s="1810"/>
      <c r="J1597" s="1810"/>
      <c r="K1597" s="1810"/>
      <c r="M1597" s="1349"/>
    </row>
    <row r="1598" spans="2:13">
      <c r="B1598" s="1890" t="s">
        <v>676</v>
      </c>
      <c r="C1598" s="1813" t="s">
        <v>2107</v>
      </c>
      <c r="D1598" s="1887"/>
      <c r="E1598" s="1887"/>
      <c r="F1598" s="2002"/>
      <c r="G1598" s="2002"/>
      <c r="H1598" s="2002"/>
      <c r="I1598" s="1810"/>
      <c r="J1598" s="1810"/>
      <c r="K1598" s="1810"/>
      <c r="M1598" s="1349"/>
    </row>
    <row r="1599" spans="2:13">
      <c r="B1599" s="1890" t="s">
        <v>270</v>
      </c>
      <c r="C1599" s="1812" t="s">
        <v>2108</v>
      </c>
      <c r="D1599" s="1887"/>
      <c r="E1599" s="1887"/>
      <c r="F1599" s="2002"/>
      <c r="G1599" s="2002"/>
      <c r="H1599" s="2002"/>
      <c r="I1599" s="1810"/>
      <c r="J1599" s="1810"/>
      <c r="K1599" s="1810"/>
      <c r="M1599" s="1349"/>
    </row>
    <row r="1600" spans="2:13">
      <c r="B1600" s="1890" t="s">
        <v>272</v>
      </c>
      <c r="C1600" s="1813" t="s">
        <v>2109</v>
      </c>
      <c r="D1600" s="1887"/>
      <c r="E1600" s="1887"/>
      <c r="F1600" s="2002"/>
      <c r="G1600" s="2002"/>
      <c r="H1600" s="2002"/>
      <c r="I1600" s="1810"/>
      <c r="J1600" s="1810"/>
      <c r="K1600" s="1810"/>
      <c r="M1600" s="1349"/>
    </row>
    <row r="1601" spans="2:13">
      <c r="B1601" s="1890" t="s">
        <v>277</v>
      </c>
      <c r="C1601" s="1813" t="s">
        <v>2110</v>
      </c>
      <c r="D1601" s="1887"/>
      <c r="E1601" s="1887"/>
      <c r="F1601" s="2002"/>
      <c r="G1601" s="2002"/>
      <c r="H1601" s="2002"/>
      <c r="I1601" s="1810"/>
      <c r="J1601" s="1810"/>
      <c r="K1601" s="1810"/>
      <c r="M1601" s="1349"/>
    </row>
    <row r="1602" spans="2:13">
      <c r="B1602" s="1890" t="s">
        <v>279</v>
      </c>
      <c r="C1602" s="1813" t="s">
        <v>2107</v>
      </c>
      <c r="D1602" s="1887"/>
      <c r="E1602" s="1887"/>
      <c r="F1602" s="2002"/>
      <c r="G1602" s="2002"/>
      <c r="H1602" s="2002"/>
      <c r="I1602" s="1810"/>
      <c r="J1602" s="1810"/>
      <c r="K1602" s="1810"/>
      <c r="M1602" s="1349"/>
    </row>
    <row r="1603" spans="2:13">
      <c r="B1603" s="1888"/>
      <c r="C1603" s="1888"/>
      <c r="D1603" s="1888"/>
      <c r="E1603" s="1888"/>
      <c r="F1603" s="1888"/>
      <c r="G1603" s="1888"/>
      <c r="H1603" s="1888"/>
      <c r="I1603" s="1888"/>
      <c r="J1603" s="1888"/>
      <c r="K1603" s="1888"/>
      <c r="M1603" s="1349"/>
    </row>
    <row r="1604" spans="2:13" ht="15.75">
      <c r="B1604" s="2015" t="s">
        <v>2122</v>
      </c>
      <c r="C1604" s="2015"/>
      <c r="D1604" s="2015"/>
      <c r="E1604" s="2015"/>
      <c r="F1604" s="2015"/>
      <c r="G1604" s="2015"/>
      <c r="H1604" s="2015"/>
      <c r="I1604" s="2015"/>
      <c r="J1604" s="2015"/>
      <c r="K1604" s="2015"/>
      <c r="M1604" s="1349"/>
    </row>
    <row r="1605" spans="2:13" ht="15.75">
      <c r="B1605" s="2015" t="s">
        <v>2123</v>
      </c>
      <c r="C1605" s="2015"/>
      <c r="D1605" s="2015"/>
      <c r="E1605" s="2015"/>
      <c r="F1605" s="2015"/>
      <c r="G1605" s="2015"/>
      <c r="H1605" s="2015"/>
      <c r="I1605" s="2015"/>
      <c r="J1605" s="2015"/>
      <c r="K1605" s="2015"/>
      <c r="M1605" s="1349"/>
    </row>
    <row r="1606" spans="2:13">
      <c r="B1606" s="2013"/>
      <c r="C1606" s="2013"/>
      <c r="D1606" s="2013"/>
      <c r="E1606" s="2013"/>
      <c r="F1606" s="2013"/>
      <c r="G1606" s="2013"/>
      <c r="H1606" s="2013"/>
      <c r="I1606" s="2013"/>
      <c r="J1606" s="2013"/>
      <c r="K1606" s="2013"/>
      <c r="M1606" s="1349"/>
    </row>
    <row r="1607" spans="2:13">
      <c r="B1607" s="2013" t="s">
        <v>2124</v>
      </c>
      <c r="C1607" s="2013"/>
      <c r="D1607" s="2013"/>
      <c r="E1607" s="2013"/>
      <c r="F1607" s="2013"/>
      <c r="G1607" s="2013"/>
      <c r="H1607" s="2013"/>
      <c r="I1607" s="2013"/>
      <c r="J1607" s="2013"/>
      <c r="K1607" s="2013"/>
      <c r="M1607" s="1349"/>
    </row>
    <row r="1608" spans="2:13" ht="174" customHeight="1">
      <c r="B1608" s="2013" t="s">
        <v>2125</v>
      </c>
      <c r="C1608" s="2013"/>
      <c r="D1608" s="2013"/>
      <c r="E1608" s="2013"/>
      <c r="F1608" s="2013"/>
      <c r="G1608" s="2013"/>
      <c r="H1608" s="2013"/>
      <c r="I1608" s="2013"/>
      <c r="J1608" s="2013"/>
      <c r="K1608" s="2013"/>
      <c r="M1608" s="1349"/>
    </row>
    <row r="1609" spans="2:13">
      <c r="B1609" s="2013"/>
      <c r="C1609" s="2013"/>
      <c r="D1609" s="2013"/>
      <c r="E1609" s="2013"/>
      <c r="F1609" s="2013"/>
      <c r="G1609" s="2013"/>
      <c r="H1609" s="2013"/>
      <c r="I1609" s="2013"/>
      <c r="J1609" s="2013"/>
      <c r="K1609" s="2013"/>
      <c r="M1609" s="1349"/>
    </row>
    <row r="1610" spans="2:13" ht="15.75">
      <c r="B1610" s="2003" t="s">
        <v>2126</v>
      </c>
      <c r="C1610" s="2003"/>
      <c r="D1610" s="2003"/>
      <c r="E1610" s="2003"/>
      <c r="F1610" s="2003"/>
      <c r="G1610" s="2003"/>
      <c r="H1610" s="2003"/>
      <c r="I1610" s="2003"/>
      <c r="J1610" s="2003"/>
      <c r="K1610" s="2003"/>
      <c r="M1610" s="1349"/>
    </row>
    <row r="1611" spans="2:13">
      <c r="C1611" s="1810"/>
      <c r="D1611" s="1810"/>
      <c r="E1611" s="1810"/>
      <c r="F1611" s="1810"/>
      <c r="G1611" s="1810"/>
      <c r="H1611" s="1810"/>
      <c r="I1611" s="1909" t="s">
        <v>2132</v>
      </c>
      <c r="J1611" s="1810"/>
      <c r="M1611" s="1349"/>
    </row>
    <row r="1612" spans="2:13">
      <c r="B1612" s="2007" t="s">
        <v>12</v>
      </c>
      <c r="C1612" s="2007" t="s">
        <v>954</v>
      </c>
      <c r="D1612" s="2007" t="s">
        <v>262</v>
      </c>
      <c r="E1612" s="2008" t="s">
        <v>172</v>
      </c>
      <c r="F1612" s="2008" t="s">
        <v>168</v>
      </c>
      <c r="G1612" s="2008" t="s">
        <v>208</v>
      </c>
      <c r="H1612" s="2008" t="s">
        <v>209</v>
      </c>
      <c r="I1612" s="2008" t="s">
        <v>171</v>
      </c>
      <c r="M1612" s="1349"/>
    </row>
    <row r="1613" spans="2:13">
      <c r="B1613" s="2007"/>
      <c r="C1613" s="2007"/>
      <c r="D1613" s="2007"/>
      <c r="E1613" s="2009"/>
      <c r="F1613" s="2009"/>
      <c r="G1613" s="2009"/>
      <c r="H1613" s="2009"/>
      <c r="I1613" s="2009"/>
      <c r="M1613" s="1349"/>
    </row>
    <row r="1614" spans="2:13">
      <c r="B1614" s="1815">
        <v>1</v>
      </c>
      <c r="C1614" s="1815">
        <v>2</v>
      </c>
      <c r="D1614" s="1815">
        <v>3</v>
      </c>
      <c r="E1614" s="1815">
        <v>4</v>
      </c>
      <c r="F1614" s="1815">
        <v>5</v>
      </c>
      <c r="G1614" s="1815">
        <v>6</v>
      </c>
      <c r="H1614" s="1815">
        <v>7</v>
      </c>
      <c r="I1614" s="1815">
        <v>8</v>
      </c>
      <c r="M1614" s="1349"/>
    </row>
    <row r="1615" spans="2:13" ht="18">
      <c r="B1615" s="2004" t="s">
        <v>232</v>
      </c>
      <c r="C1615" s="2005"/>
      <c r="D1615" s="2005"/>
      <c r="E1615" s="2005"/>
      <c r="F1615" s="2005"/>
      <c r="G1615" s="2005"/>
      <c r="H1615" s="2005"/>
      <c r="I1615" s="2006"/>
      <c r="M1615" s="1349"/>
    </row>
    <row r="1616" spans="2:13" ht="30">
      <c r="B1616" s="1814" t="s">
        <v>234</v>
      </c>
      <c r="C1616" s="1816" t="s">
        <v>2127</v>
      </c>
      <c r="D1616" s="1885" t="s">
        <v>1419</v>
      </c>
      <c r="E1616" s="1818"/>
      <c r="F1616" s="1818"/>
      <c r="G1616" s="1818"/>
      <c r="H1616" s="1818"/>
      <c r="I1616" s="1818"/>
      <c r="M1616" s="1349"/>
    </row>
    <row r="1617" spans="2:13">
      <c r="B1617" s="1814" t="s">
        <v>237</v>
      </c>
      <c r="C1617" s="1816" t="s">
        <v>1137</v>
      </c>
      <c r="D1617" s="1885" t="s">
        <v>600</v>
      </c>
      <c r="E1617" s="1818"/>
      <c r="F1617" s="1818"/>
      <c r="G1617" s="1818"/>
      <c r="H1617" s="1818"/>
      <c r="I1617" s="1818"/>
      <c r="M1617" s="1349"/>
    </row>
    <row r="1618" spans="2:13" ht="30">
      <c r="B1618" s="1814" t="s">
        <v>239</v>
      </c>
      <c r="C1618" s="1816" t="s">
        <v>2128</v>
      </c>
      <c r="D1618" s="1885" t="s">
        <v>285</v>
      </c>
      <c r="E1618" s="1818"/>
      <c r="F1618" s="1818"/>
      <c r="G1618" s="1818"/>
      <c r="H1618" s="1818"/>
      <c r="I1618" s="1818"/>
      <c r="M1618" s="1349"/>
    </row>
    <row r="1619" spans="2:13" ht="30">
      <c r="B1619" s="1814" t="s">
        <v>242</v>
      </c>
      <c r="C1619" s="1816" t="s">
        <v>1142</v>
      </c>
      <c r="D1619" s="1885" t="s">
        <v>600</v>
      </c>
      <c r="E1619" s="1818"/>
      <c r="F1619" s="1818"/>
      <c r="G1619" s="1818"/>
      <c r="H1619" s="1818"/>
      <c r="I1619" s="1818"/>
      <c r="M1619" s="1349"/>
    </row>
    <row r="1620" spans="2:13">
      <c r="B1620" s="1814" t="s">
        <v>899</v>
      </c>
      <c r="C1620" s="1816" t="s">
        <v>2129</v>
      </c>
      <c r="D1620" s="1885" t="s">
        <v>241</v>
      </c>
      <c r="E1620" s="1818"/>
      <c r="F1620" s="1818"/>
      <c r="G1620" s="1818"/>
      <c r="H1620" s="1818"/>
      <c r="I1620" s="1818"/>
      <c r="M1620" s="1349"/>
    </row>
    <row r="1621" spans="2:13">
      <c r="B1621" s="1814" t="s">
        <v>860</v>
      </c>
      <c r="C1621" s="1816" t="s">
        <v>1146</v>
      </c>
      <c r="D1621" s="1885" t="s">
        <v>241</v>
      </c>
      <c r="E1621" s="1818"/>
      <c r="F1621" s="1818"/>
      <c r="G1621" s="1818"/>
      <c r="H1621" s="1818"/>
      <c r="I1621" s="1818"/>
      <c r="M1621" s="1349"/>
    </row>
    <row r="1622" spans="2:13">
      <c r="B1622" s="1814" t="s">
        <v>862</v>
      </c>
      <c r="C1622" s="1816" t="s">
        <v>2130</v>
      </c>
      <c r="D1622" s="1885" t="s">
        <v>249</v>
      </c>
      <c r="E1622" s="1818"/>
      <c r="F1622" s="1818"/>
      <c r="G1622" s="1818"/>
      <c r="H1622" s="1818"/>
      <c r="I1622" s="1818"/>
      <c r="M1622" s="1349"/>
    </row>
    <row r="1623" spans="2:13">
      <c r="B1623" s="1814" t="s">
        <v>872</v>
      </c>
      <c r="C1623" s="1816" t="s">
        <v>1148</v>
      </c>
      <c r="D1623" s="1885" t="s">
        <v>249</v>
      </c>
      <c r="E1623" s="1818"/>
      <c r="F1623" s="1818"/>
      <c r="G1623" s="1818"/>
      <c r="H1623" s="1818"/>
      <c r="I1623" s="1818"/>
      <c r="M1623" s="1349"/>
    </row>
    <row r="1624" spans="2:13" ht="30">
      <c r="B1624" s="1814" t="s">
        <v>904</v>
      </c>
      <c r="C1624" s="1816" t="s">
        <v>2131</v>
      </c>
      <c r="D1624" s="1885" t="s">
        <v>285</v>
      </c>
      <c r="E1624" s="1818"/>
      <c r="F1624" s="1818"/>
      <c r="G1624" s="1818"/>
      <c r="H1624" s="1818"/>
      <c r="I1624" s="1818"/>
      <c r="M1624" s="1349"/>
    </row>
    <row r="1625" spans="2:13" ht="31.5">
      <c r="B1625" s="1802" t="s">
        <v>906</v>
      </c>
      <c r="C1625" s="1817" t="s">
        <v>1155</v>
      </c>
      <c r="D1625" s="1801" t="s">
        <v>600</v>
      </c>
      <c r="E1625" s="1819"/>
      <c r="F1625" s="1819"/>
      <c r="G1625" s="1819"/>
      <c r="H1625" s="1819"/>
      <c r="I1625" s="1819"/>
      <c r="M1625" s="1349"/>
    </row>
    <row r="1626" spans="2:13" ht="18">
      <c r="B1626" s="2004" t="s">
        <v>233</v>
      </c>
      <c r="C1626" s="2005"/>
      <c r="D1626" s="2005"/>
      <c r="E1626" s="2005"/>
      <c r="F1626" s="2005"/>
      <c r="G1626" s="2005"/>
      <c r="H1626" s="2005"/>
      <c r="I1626" s="2006"/>
      <c r="M1626" s="1349"/>
    </row>
    <row r="1627" spans="2:13" ht="30">
      <c r="B1627" s="1814" t="s">
        <v>234</v>
      </c>
      <c r="C1627" s="1816" t="s">
        <v>2127</v>
      </c>
      <c r="D1627" s="1885" t="s">
        <v>1419</v>
      </c>
      <c r="E1627" s="1818"/>
      <c r="F1627" s="1818"/>
      <c r="G1627" s="1818"/>
      <c r="H1627" s="1818"/>
      <c r="I1627" s="1818"/>
      <c r="M1627" s="1349"/>
    </row>
    <row r="1628" spans="2:13">
      <c r="B1628" s="1814" t="s">
        <v>237</v>
      </c>
      <c r="C1628" s="1816" t="s">
        <v>1137</v>
      </c>
      <c r="D1628" s="1885" t="s">
        <v>600</v>
      </c>
      <c r="E1628" s="1818"/>
      <c r="F1628" s="1818"/>
      <c r="G1628" s="1818"/>
      <c r="H1628" s="1818"/>
      <c r="I1628" s="1818"/>
      <c r="M1628" s="1349"/>
    </row>
    <row r="1629" spans="2:13" ht="30">
      <c r="B1629" s="1814" t="s">
        <v>239</v>
      </c>
      <c r="C1629" s="1816" t="s">
        <v>2128</v>
      </c>
      <c r="D1629" s="1885" t="s">
        <v>285</v>
      </c>
      <c r="E1629" s="1818"/>
      <c r="F1629" s="1818"/>
      <c r="G1629" s="1818"/>
      <c r="H1629" s="1818"/>
      <c r="I1629" s="1818"/>
      <c r="M1629" s="1349"/>
    </row>
    <row r="1630" spans="2:13" ht="30">
      <c r="B1630" s="1814" t="s">
        <v>242</v>
      </c>
      <c r="C1630" s="1816" t="s">
        <v>1142</v>
      </c>
      <c r="D1630" s="1885" t="s">
        <v>600</v>
      </c>
      <c r="E1630" s="1818"/>
      <c r="F1630" s="1818"/>
      <c r="G1630" s="1818"/>
      <c r="H1630" s="1818"/>
      <c r="I1630" s="1818"/>
      <c r="M1630" s="1349"/>
    </row>
    <row r="1631" spans="2:13">
      <c r="B1631" s="1814" t="s">
        <v>899</v>
      </c>
      <c r="C1631" s="1816" t="s">
        <v>2129</v>
      </c>
      <c r="D1631" s="1885" t="s">
        <v>241</v>
      </c>
      <c r="E1631" s="1818"/>
      <c r="F1631" s="1818"/>
      <c r="G1631" s="1818"/>
      <c r="H1631" s="1818"/>
      <c r="I1631" s="1818"/>
      <c r="M1631" s="1349"/>
    </row>
    <row r="1632" spans="2:13">
      <c r="B1632" s="1814" t="s">
        <v>860</v>
      </c>
      <c r="C1632" s="1816" t="s">
        <v>1146</v>
      </c>
      <c r="D1632" s="1885" t="s">
        <v>241</v>
      </c>
      <c r="E1632" s="1818"/>
      <c r="F1632" s="1818"/>
      <c r="G1632" s="1818"/>
      <c r="H1632" s="1818"/>
      <c r="I1632" s="1818"/>
      <c r="M1632" s="1349"/>
    </row>
    <row r="1633" spans="2:13">
      <c r="B1633" s="1814" t="s">
        <v>862</v>
      </c>
      <c r="C1633" s="1816" t="s">
        <v>2130</v>
      </c>
      <c r="D1633" s="1885" t="s">
        <v>249</v>
      </c>
      <c r="E1633" s="1818"/>
      <c r="F1633" s="1818"/>
      <c r="G1633" s="1818"/>
      <c r="H1633" s="1818"/>
      <c r="I1633" s="1818"/>
      <c r="M1633" s="1349"/>
    </row>
    <row r="1634" spans="2:13">
      <c r="B1634" s="1814" t="s">
        <v>872</v>
      </c>
      <c r="C1634" s="1816" t="s">
        <v>1148</v>
      </c>
      <c r="D1634" s="1885" t="s">
        <v>249</v>
      </c>
      <c r="E1634" s="1818"/>
      <c r="F1634" s="1818"/>
      <c r="G1634" s="1818"/>
      <c r="H1634" s="1818"/>
      <c r="I1634" s="1818"/>
      <c r="M1634" s="1349"/>
    </row>
    <row r="1635" spans="2:13" ht="30">
      <c r="B1635" s="1814" t="s">
        <v>904</v>
      </c>
      <c r="C1635" s="1816" t="s">
        <v>2131</v>
      </c>
      <c r="D1635" s="1885" t="s">
        <v>285</v>
      </c>
      <c r="E1635" s="1818"/>
      <c r="F1635" s="1818"/>
      <c r="G1635" s="1818"/>
      <c r="H1635" s="1818"/>
      <c r="I1635" s="1818"/>
      <c r="M1635" s="1349"/>
    </row>
    <row r="1636" spans="2:13" ht="31.5">
      <c r="B1636" s="1802" t="s">
        <v>906</v>
      </c>
      <c r="C1636" s="1817" t="s">
        <v>1155</v>
      </c>
      <c r="D1636" s="1801" t="s">
        <v>600</v>
      </c>
      <c r="E1636" s="1819"/>
      <c r="F1636" s="1819"/>
      <c r="G1636" s="1819"/>
      <c r="H1636" s="1819"/>
      <c r="I1636" s="1819"/>
      <c r="M1636" s="1349"/>
    </row>
    <row r="1637" spans="2:13">
      <c r="B1637" s="2013"/>
      <c r="C1637" s="2013"/>
      <c r="D1637" s="2013"/>
      <c r="E1637" s="2013"/>
      <c r="F1637" s="2013"/>
      <c r="G1637" s="2013"/>
      <c r="H1637" s="2013"/>
      <c r="I1637" s="2013"/>
      <c r="J1637" s="2013"/>
      <c r="K1637" s="2013"/>
      <c r="M1637" s="1349"/>
    </row>
    <row r="1638" spans="2:13" ht="15.75">
      <c r="B1638" s="2015" t="s">
        <v>2134</v>
      </c>
      <c r="C1638" s="2015"/>
      <c r="D1638" s="2015"/>
      <c r="E1638" s="2015"/>
      <c r="F1638" s="2015"/>
      <c r="G1638" s="2015"/>
      <c r="H1638" s="2015"/>
      <c r="I1638" s="2015"/>
      <c r="J1638" s="2015"/>
      <c r="K1638" s="2015"/>
      <c r="M1638" s="1349"/>
    </row>
    <row r="1639" spans="2:13">
      <c r="B1639" s="2013"/>
      <c r="C1639" s="2013"/>
      <c r="D1639" s="2013"/>
      <c r="E1639" s="2013"/>
      <c r="F1639" s="2013"/>
      <c r="G1639" s="2013"/>
      <c r="H1639" s="2013"/>
      <c r="I1639" s="2013"/>
      <c r="J1639" s="2013"/>
      <c r="K1639" s="2013"/>
      <c r="M1639" s="1349"/>
    </row>
    <row r="1640" spans="2:13" ht="34.5" customHeight="1">
      <c r="B1640" s="2013" t="s">
        <v>2135</v>
      </c>
      <c r="C1640" s="2013"/>
      <c r="D1640" s="2013"/>
      <c r="E1640" s="2013"/>
      <c r="F1640" s="2013"/>
      <c r="G1640" s="2013"/>
      <c r="H1640" s="2013"/>
      <c r="I1640" s="2013"/>
      <c r="J1640" s="2013"/>
      <c r="K1640" s="2013"/>
      <c r="M1640" s="1349"/>
    </row>
    <row r="1641" spans="2:13">
      <c r="B1641" s="2013"/>
      <c r="C1641" s="2013"/>
      <c r="D1641" s="2013"/>
      <c r="E1641" s="2013"/>
      <c r="F1641" s="2013"/>
      <c r="G1641" s="2013"/>
      <c r="H1641" s="2013"/>
      <c r="I1641" s="2013"/>
      <c r="J1641" s="2013"/>
      <c r="K1641" s="2013"/>
      <c r="M1641" s="1349"/>
    </row>
    <row r="1642" spans="2:13" ht="15.75">
      <c r="B1642" s="2003" t="s">
        <v>2136</v>
      </c>
      <c r="C1642" s="2003"/>
      <c r="D1642" s="2003"/>
      <c r="E1642" s="2003"/>
      <c r="F1642" s="2003"/>
      <c r="G1642" s="2003"/>
      <c r="H1642" s="2003"/>
      <c r="I1642" s="2003"/>
      <c r="J1642" s="2003"/>
      <c r="K1642" s="2003"/>
      <c r="M1642" s="1349"/>
    </row>
    <row r="1643" spans="2:13">
      <c r="C1643" s="1810"/>
      <c r="D1643" s="1810"/>
      <c r="E1643" s="1810"/>
      <c r="F1643" s="1810"/>
      <c r="G1643" s="1810"/>
      <c r="H1643" s="1810"/>
      <c r="I1643" s="1909" t="s">
        <v>2138</v>
      </c>
      <c r="J1643" s="1810"/>
      <c r="K1643" s="1810"/>
      <c r="M1643" s="1349"/>
    </row>
    <row r="1644" spans="2:13">
      <c r="B1644" s="2007" t="s">
        <v>12</v>
      </c>
      <c r="C1644" s="2007" t="s">
        <v>954</v>
      </c>
      <c r="D1644" s="2007" t="s">
        <v>262</v>
      </c>
      <c r="E1644" s="2008" t="s">
        <v>172</v>
      </c>
      <c r="F1644" s="2008" t="s">
        <v>168</v>
      </c>
      <c r="G1644" s="2008" t="s">
        <v>208</v>
      </c>
      <c r="H1644" s="2008" t="s">
        <v>209</v>
      </c>
      <c r="I1644" s="2008" t="s">
        <v>171</v>
      </c>
      <c r="M1644" s="1349"/>
    </row>
    <row r="1645" spans="2:13">
      <c r="B1645" s="2007"/>
      <c r="C1645" s="2007"/>
      <c r="D1645" s="2007"/>
      <c r="E1645" s="2009"/>
      <c r="F1645" s="2009"/>
      <c r="G1645" s="2009"/>
      <c r="H1645" s="2009"/>
      <c r="I1645" s="2009"/>
      <c r="M1645" s="1349"/>
    </row>
    <row r="1646" spans="2:13">
      <c r="B1646" s="1815">
        <v>1</v>
      </c>
      <c r="C1646" s="1815">
        <v>2</v>
      </c>
      <c r="D1646" s="1815">
        <v>3</v>
      </c>
      <c r="E1646" s="1815">
        <v>4</v>
      </c>
      <c r="F1646" s="1815">
        <v>5</v>
      </c>
      <c r="G1646" s="1815">
        <v>6</v>
      </c>
      <c r="H1646" s="1815">
        <v>7</v>
      </c>
      <c r="I1646" s="1815">
        <v>8</v>
      </c>
      <c r="M1646" s="1349"/>
    </row>
    <row r="1647" spans="2:13" ht="15.75">
      <c r="B1647" s="2010" t="s">
        <v>232</v>
      </c>
      <c r="C1647" s="2011"/>
      <c r="D1647" s="2011"/>
      <c r="E1647" s="2011"/>
      <c r="F1647" s="2011"/>
      <c r="G1647" s="2011"/>
      <c r="H1647" s="2011"/>
      <c r="I1647" s="2012"/>
      <c r="M1647" s="1349"/>
    </row>
    <row r="1648" spans="2:13">
      <c r="B1648" s="1814" t="s">
        <v>234</v>
      </c>
      <c r="C1648" s="1816" t="s">
        <v>1157</v>
      </c>
      <c r="D1648" s="1885" t="s">
        <v>318</v>
      </c>
      <c r="E1648" s="1823"/>
      <c r="F1648" s="1823"/>
      <c r="G1648" s="1823"/>
      <c r="H1648" s="1823"/>
      <c r="I1648" s="1823"/>
      <c r="M1648" s="1349"/>
    </row>
    <row r="1649" spans="2:13" ht="30">
      <c r="B1649" s="1814" t="s">
        <v>237</v>
      </c>
      <c r="C1649" s="1816" t="s">
        <v>1158</v>
      </c>
      <c r="D1649" s="1885"/>
      <c r="E1649" s="1818"/>
      <c r="F1649" s="1814" t="s">
        <v>2137</v>
      </c>
      <c r="G1649" s="1814" t="s">
        <v>2137</v>
      </c>
      <c r="H1649" s="1814" t="s">
        <v>2137</v>
      </c>
      <c r="I1649" s="1814" t="s">
        <v>2137</v>
      </c>
      <c r="M1649" s="1349"/>
    </row>
    <row r="1650" spans="2:13" ht="30">
      <c r="B1650" s="1814" t="s">
        <v>239</v>
      </c>
      <c r="C1650" s="1816" t="s">
        <v>1163</v>
      </c>
      <c r="D1650" s="1885" t="s">
        <v>1419</v>
      </c>
      <c r="E1650" s="1823"/>
      <c r="F1650" s="1823"/>
      <c r="G1650" s="1823"/>
      <c r="H1650" s="1823"/>
      <c r="I1650" s="1823"/>
      <c r="M1650" s="1349"/>
    </row>
    <row r="1651" spans="2:13">
      <c r="B1651" s="1814" t="s">
        <v>242</v>
      </c>
      <c r="C1651" s="1816" t="s">
        <v>1164</v>
      </c>
      <c r="D1651" s="1885" t="s">
        <v>285</v>
      </c>
      <c r="E1651" s="1823"/>
      <c r="F1651" s="1823"/>
      <c r="G1651" s="1823"/>
      <c r="H1651" s="1823"/>
      <c r="I1651" s="1823"/>
      <c r="M1651" s="1349"/>
    </row>
    <row r="1652" spans="2:13" ht="31.5">
      <c r="B1652" s="1802" t="s">
        <v>899</v>
      </c>
      <c r="C1652" s="1817" t="s">
        <v>1165</v>
      </c>
      <c r="D1652" s="1801" t="s">
        <v>1419</v>
      </c>
      <c r="E1652" s="1814" t="s">
        <v>2137</v>
      </c>
      <c r="F1652" s="1823"/>
      <c r="G1652" s="1823"/>
      <c r="H1652" s="1823"/>
      <c r="I1652" s="1823"/>
      <c r="M1652" s="1349"/>
    </row>
    <row r="1653" spans="2:13" ht="47.25">
      <c r="B1653" s="1802" t="s">
        <v>860</v>
      </c>
      <c r="C1653" s="1817" t="s">
        <v>1168</v>
      </c>
      <c r="D1653" s="1801" t="s">
        <v>285</v>
      </c>
      <c r="E1653" s="1814" t="s">
        <v>2137</v>
      </c>
      <c r="F1653" s="1823"/>
      <c r="G1653" s="1823"/>
      <c r="H1653" s="1823"/>
      <c r="I1653" s="1823"/>
      <c r="M1653" s="1349"/>
    </row>
    <row r="1654" spans="2:13" ht="15.75">
      <c r="B1654" s="1802" t="s">
        <v>862</v>
      </c>
      <c r="C1654" s="1817" t="s">
        <v>256</v>
      </c>
      <c r="D1654" s="1801" t="s">
        <v>285</v>
      </c>
      <c r="E1654" s="1814" t="s">
        <v>2137</v>
      </c>
      <c r="F1654" s="1823"/>
      <c r="G1654" s="1823"/>
      <c r="H1654" s="1823"/>
      <c r="I1654" s="1823"/>
      <c r="M1654" s="1349"/>
    </row>
    <row r="1655" spans="2:13" ht="15.75">
      <c r="B1655" s="2010" t="s">
        <v>233</v>
      </c>
      <c r="C1655" s="2011"/>
      <c r="D1655" s="2011"/>
      <c r="E1655" s="2011"/>
      <c r="F1655" s="2011"/>
      <c r="G1655" s="2011"/>
      <c r="H1655" s="2011"/>
      <c r="I1655" s="2012"/>
      <c r="M1655" s="1349"/>
    </row>
    <row r="1656" spans="2:13">
      <c r="B1656" s="1814" t="s">
        <v>234</v>
      </c>
      <c r="C1656" s="1816" t="s">
        <v>1157</v>
      </c>
      <c r="D1656" s="1885" t="s">
        <v>318</v>
      </c>
      <c r="E1656" s="1823"/>
      <c r="F1656" s="1823"/>
      <c r="G1656" s="1823"/>
      <c r="H1656" s="1823"/>
      <c r="I1656" s="1823"/>
      <c r="M1656" s="1349"/>
    </row>
    <row r="1657" spans="2:13" ht="30">
      <c r="B1657" s="1814" t="s">
        <v>237</v>
      </c>
      <c r="C1657" s="1816" t="s">
        <v>1158</v>
      </c>
      <c r="D1657" s="1885"/>
      <c r="E1657" s="1818"/>
      <c r="F1657" s="1814" t="s">
        <v>2137</v>
      </c>
      <c r="G1657" s="1814" t="s">
        <v>2137</v>
      </c>
      <c r="H1657" s="1814" t="s">
        <v>2137</v>
      </c>
      <c r="I1657" s="1814" t="s">
        <v>2137</v>
      </c>
      <c r="M1657" s="1349"/>
    </row>
    <row r="1658" spans="2:13" ht="30">
      <c r="B1658" s="1814" t="s">
        <v>239</v>
      </c>
      <c r="C1658" s="1816" t="s">
        <v>1163</v>
      </c>
      <c r="D1658" s="1885" t="s">
        <v>1419</v>
      </c>
      <c r="E1658" s="1823"/>
      <c r="F1658" s="1823"/>
      <c r="G1658" s="1823"/>
      <c r="H1658" s="1823"/>
      <c r="I1658" s="1823"/>
      <c r="M1658" s="1349"/>
    </row>
    <row r="1659" spans="2:13">
      <c r="B1659" s="1814" t="s">
        <v>242</v>
      </c>
      <c r="C1659" s="1816" t="s">
        <v>1164</v>
      </c>
      <c r="D1659" s="1885" t="s">
        <v>285</v>
      </c>
      <c r="E1659" s="1823"/>
      <c r="F1659" s="1823"/>
      <c r="G1659" s="1823"/>
      <c r="H1659" s="1823"/>
      <c r="I1659" s="1823"/>
      <c r="M1659" s="1349"/>
    </row>
    <row r="1660" spans="2:13" ht="31.5">
      <c r="B1660" s="1802" t="s">
        <v>899</v>
      </c>
      <c r="C1660" s="1817" t="s">
        <v>1165</v>
      </c>
      <c r="D1660" s="1801" t="s">
        <v>1419</v>
      </c>
      <c r="E1660" s="1814" t="s">
        <v>2137</v>
      </c>
      <c r="F1660" s="1823"/>
      <c r="G1660" s="1823"/>
      <c r="H1660" s="1823"/>
      <c r="I1660" s="1823"/>
      <c r="M1660" s="1349"/>
    </row>
    <row r="1661" spans="2:13" ht="47.25">
      <c r="B1661" s="1802" t="s">
        <v>860</v>
      </c>
      <c r="C1661" s="1817" t="s">
        <v>1168</v>
      </c>
      <c r="D1661" s="1801" t="s">
        <v>285</v>
      </c>
      <c r="E1661" s="1814" t="s">
        <v>2137</v>
      </c>
      <c r="F1661" s="1823"/>
      <c r="G1661" s="1823"/>
      <c r="H1661" s="1823"/>
      <c r="I1661" s="1823"/>
      <c r="M1661" s="1349"/>
    </row>
    <row r="1662" spans="2:13" ht="15.75">
      <c r="B1662" s="1802" t="s">
        <v>862</v>
      </c>
      <c r="C1662" s="1817" t="s">
        <v>256</v>
      </c>
      <c r="D1662" s="1801" t="s">
        <v>285</v>
      </c>
      <c r="E1662" s="1814" t="s">
        <v>2137</v>
      </c>
      <c r="F1662" s="1823"/>
      <c r="G1662" s="1823"/>
      <c r="H1662" s="1823"/>
      <c r="I1662" s="1823"/>
      <c r="M1662" s="1349"/>
    </row>
    <row r="1663" spans="2:13">
      <c r="M1663" s="1349"/>
    </row>
    <row r="1664" spans="2:13" ht="15.75" customHeight="1">
      <c r="B1664" s="2003" t="s">
        <v>2139</v>
      </c>
      <c r="C1664" s="2003"/>
      <c r="D1664" s="2003"/>
      <c r="E1664" s="2003"/>
      <c r="F1664" s="2003"/>
      <c r="G1664" s="2003"/>
      <c r="H1664" s="1355"/>
      <c r="I1664" s="1355"/>
      <c r="M1664" s="1349"/>
    </row>
    <row r="1665" spans="2:13">
      <c r="G1665" s="1909" t="s">
        <v>2150</v>
      </c>
      <c r="M1665" s="1349"/>
    </row>
    <row r="1666" spans="2:13">
      <c r="B1666" s="1793" t="s">
        <v>12</v>
      </c>
      <c r="C1666" s="1821" t="s">
        <v>954</v>
      </c>
      <c r="D1666" s="1821" t="s">
        <v>262</v>
      </c>
      <c r="E1666" s="1821" t="s">
        <v>232</v>
      </c>
      <c r="F1666" s="1821" t="s">
        <v>233</v>
      </c>
      <c r="G1666" s="1824" t="str">
        <f>CONCATENATE('0. Анкета'!C13+3," год")</f>
        <v>2022 год</v>
      </c>
      <c r="M1666" s="1349"/>
    </row>
    <row r="1667" spans="2:13">
      <c r="B1667" s="1895">
        <v>1</v>
      </c>
      <c r="C1667" s="1894">
        <v>2</v>
      </c>
      <c r="D1667" s="1894">
        <v>3</v>
      </c>
      <c r="E1667" s="1894">
        <v>4</v>
      </c>
      <c r="F1667" s="1894">
        <v>5</v>
      </c>
      <c r="G1667" s="1894">
        <v>6</v>
      </c>
      <c r="M1667" s="1349"/>
    </row>
    <row r="1668" spans="2:13">
      <c r="B1668" s="1821" t="s">
        <v>234</v>
      </c>
      <c r="C1668" s="1825" t="s">
        <v>2140</v>
      </c>
      <c r="D1668" s="1793" t="s">
        <v>249</v>
      </c>
      <c r="E1668" s="1827"/>
      <c r="F1668" s="1827"/>
      <c r="G1668" s="1827"/>
      <c r="M1668" s="1349"/>
    </row>
    <row r="1669" spans="2:13" ht="33.75">
      <c r="B1669" s="1894" t="s">
        <v>267</v>
      </c>
      <c r="C1669" s="1820" t="s">
        <v>2151</v>
      </c>
      <c r="D1669" s="1895" t="s">
        <v>249</v>
      </c>
      <c r="E1669" s="1828"/>
      <c r="F1669" s="1828"/>
      <c r="G1669" s="1828"/>
      <c r="M1669" s="1349"/>
    </row>
    <row r="1670" spans="2:13" ht="33.75">
      <c r="B1670" s="1894" t="s">
        <v>269</v>
      </c>
      <c r="C1670" s="1820" t="s">
        <v>2152</v>
      </c>
      <c r="D1670" s="1895" t="s">
        <v>249</v>
      </c>
      <c r="E1670" s="1828"/>
      <c r="F1670" s="1828"/>
      <c r="G1670" s="1828"/>
      <c r="M1670" s="1349"/>
    </row>
    <row r="1671" spans="2:13">
      <c r="B1671" s="1821" t="s">
        <v>237</v>
      </c>
      <c r="C1671" s="1825" t="s">
        <v>2141</v>
      </c>
      <c r="D1671" s="1793" t="s">
        <v>241</v>
      </c>
      <c r="E1671" s="1827"/>
      <c r="F1671" s="1827"/>
      <c r="G1671" s="1827"/>
      <c r="M1671" s="1349"/>
    </row>
    <row r="1672" spans="2:13" ht="22.5">
      <c r="B1672" s="1894" t="s">
        <v>520</v>
      </c>
      <c r="C1672" s="1820" t="s">
        <v>2153</v>
      </c>
      <c r="D1672" s="1895" t="s">
        <v>241</v>
      </c>
      <c r="E1672" s="1828"/>
      <c r="F1672" s="1828"/>
      <c r="G1672" s="1828"/>
      <c r="M1672" s="1349"/>
    </row>
    <row r="1673" spans="2:13" ht="22.5">
      <c r="B1673" s="1894" t="s">
        <v>527</v>
      </c>
      <c r="C1673" s="1820" t="s">
        <v>2154</v>
      </c>
      <c r="D1673" s="1895" t="s">
        <v>241</v>
      </c>
      <c r="E1673" s="1828"/>
      <c r="F1673" s="1828"/>
      <c r="G1673" s="1828"/>
      <c r="M1673" s="1349"/>
    </row>
    <row r="1674" spans="2:13" ht="33.75">
      <c r="B1674" s="1894" t="s">
        <v>239</v>
      </c>
      <c r="C1674" s="1820" t="s">
        <v>2142</v>
      </c>
      <c r="D1674" s="1895" t="s">
        <v>285</v>
      </c>
      <c r="E1674" s="1828"/>
      <c r="F1674" s="1828"/>
      <c r="G1674" s="1828"/>
      <c r="M1674" s="1349"/>
    </row>
    <row r="1675" spans="2:13" ht="22.5">
      <c r="B1675" s="1894" t="s">
        <v>455</v>
      </c>
      <c r="C1675" s="1826" t="s">
        <v>2143</v>
      </c>
      <c r="D1675" s="1895" t="s">
        <v>285</v>
      </c>
      <c r="E1675" s="1828"/>
      <c r="F1675" s="1828"/>
      <c r="G1675" s="1828"/>
      <c r="M1675" s="1349"/>
    </row>
    <row r="1676" spans="2:13" ht="33.75">
      <c r="B1676" s="1894" t="s">
        <v>464</v>
      </c>
      <c r="C1676" s="1826" t="s">
        <v>2144</v>
      </c>
      <c r="D1676" s="1895" t="s">
        <v>268</v>
      </c>
      <c r="E1676" s="1828"/>
      <c r="F1676" s="1828"/>
      <c r="G1676" s="1828"/>
      <c r="M1676" s="1349"/>
    </row>
    <row r="1677" spans="2:13" ht="33.75">
      <c r="B1677" s="1894" t="s">
        <v>473</v>
      </c>
      <c r="C1677" s="1826" t="s">
        <v>2155</v>
      </c>
      <c r="D1677" s="1895" t="s">
        <v>268</v>
      </c>
      <c r="E1677" s="1828"/>
      <c r="F1677" s="1828"/>
      <c r="G1677" s="1828"/>
      <c r="M1677" s="1349"/>
    </row>
    <row r="1678" spans="2:13" ht="33.75">
      <c r="B1678" s="1894" t="s">
        <v>481</v>
      </c>
      <c r="C1678" s="1826" t="s">
        <v>2156</v>
      </c>
      <c r="D1678" s="1895" t="s">
        <v>268</v>
      </c>
      <c r="E1678" s="1828"/>
      <c r="F1678" s="1828"/>
      <c r="G1678" s="1828"/>
      <c r="M1678" s="1349"/>
    </row>
    <row r="1679" spans="2:13" ht="33.75">
      <c r="B1679" s="1894" t="s">
        <v>899</v>
      </c>
      <c r="C1679" s="1820" t="s">
        <v>2145</v>
      </c>
      <c r="D1679" s="1895" t="s">
        <v>1419</v>
      </c>
      <c r="E1679" s="1828"/>
      <c r="F1679" s="1828"/>
      <c r="G1679" s="1828"/>
      <c r="M1679" s="1349"/>
    </row>
    <row r="1680" spans="2:13" ht="22.5">
      <c r="B1680" s="1894" t="s">
        <v>860</v>
      </c>
      <c r="C1680" s="1820" t="s">
        <v>2146</v>
      </c>
      <c r="D1680" s="1895" t="s">
        <v>285</v>
      </c>
      <c r="E1680" s="1828"/>
      <c r="F1680" s="1828"/>
      <c r="G1680" s="1828"/>
      <c r="M1680" s="1349"/>
    </row>
    <row r="1681" spans="2:13" ht="33.75">
      <c r="B1681" s="1894" t="s">
        <v>862</v>
      </c>
      <c r="C1681" s="1820" t="s">
        <v>2147</v>
      </c>
      <c r="D1681" s="1895" t="s">
        <v>1404</v>
      </c>
      <c r="E1681" s="1828"/>
      <c r="F1681" s="1828"/>
      <c r="G1681" s="1828"/>
      <c r="M1681" s="1349"/>
    </row>
    <row r="1682" spans="2:13">
      <c r="B1682" s="1894" t="s">
        <v>865</v>
      </c>
      <c r="C1682" s="1826" t="s">
        <v>1135</v>
      </c>
      <c r="D1682" s="1895" t="s">
        <v>1419</v>
      </c>
      <c r="E1682" s="1828"/>
      <c r="F1682" s="1828"/>
      <c r="G1682" s="1828"/>
      <c r="M1682" s="1349"/>
    </row>
    <row r="1683" spans="2:13" ht="22.5">
      <c r="B1683" s="1894" t="s">
        <v>866</v>
      </c>
      <c r="C1683" s="1826" t="s">
        <v>2148</v>
      </c>
      <c r="D1683" s="1895" t="s">
        <v>285</v>
      </c>
      <c r="E1683" s="1828"/>
      <c r="F1683" s="1828"/>
      <c r="G1683" s="1828"/>
      <c r="M1683" s="1349"/>
    </row>
    <row r="1684" spans="2:13">
      <c r="B1684" s="1821" t="s">
        <v>872</v>
      </c>
      <c r="C1684" s="1822" t="s">
        <v>2149</v>
      </c>
      <c r="D1684" s="1793" t="s">
        <v>600</v>
      </c>
      <c r="E1684" s="1827"/>
      <c r="F1684" s="1827"/>
      <c r="G1684" s="1827"/>
      <c r="M1684" s="1349"/>
    </row>
    <row r="1685" spans="2:13">
      <c r="B1685" s="1821" t="s">
        <v>1965</v>
      </c>
      <c r="C1685" s="1822" t="s">
        <v>1420</v>
      </c>
      <c r="D1685" s="1793" t="s">
        <v>600</v>
      </c>
      <c r="E1685" s="1829"/>
      <c r="F1685" s="1829"/>
      <c r="G1685" s="1829"/>
      <c r="M1685" s="1349"/>
    </row>
    <row r="1686" spans="2:13">
      <c r="B1686" s="1821" t="s">
        <v>1966</v>
      </c>
      <c r="C1686" s="1822" t="s">
        <v>1427</v>
      </c>
      <c r="D1686" s="1793" t="s">
        <v>600</v>
      </c>
      <c r="E1686" s="1829"/>
      <c r="F1686" s="1829"/>
      <c r="G1686" s="1829"/>
      <c r="M1686" s="1349"/>
    </row>
    <row r="1687" spans="2:13">
      <c r="B1687" s="1821" t="s">
        <v>904</v>
      </c>
      <c r="C1687" s="1822" t="s">
        <v>1158</v>
      </c>
      <c r="D1687" s="1793" t="s">
        <v>600</v>
      </c>
      <c r="E1687" s="1829"/>
      <c r="F1687" s="1829"/>
      <c r="G1687" s="1829"/>
      <c r="M1687" s="1349"/>
    </row>
    <row r="1688" spans="2:13">
      <c r="M1688" s="1349"/>
    </row>
    <row r="1689" spans="2:13" ht="33" customHeight="1">
      <c r="B1689" s="2014" t="s">
        <v>2157</v>
      </c>
      <c r="C1689" s="2014"/>
      <c r="D1689" s="2014"/>
      <c r="E1689" s="2014"/>
      <c r="F1689" s="2014"/>
      <c r="G1689" s="2014"/>
      <c r="H1689" s="2014"/>
      <c r="I1689" s="2014"/>
      <c r="J1689" s="2014"/>
      <c r="K1689" s="2014"/>
      <c r="M1689" s="1349"/>
    </row>
  </sheetData>
  <mergeCells count="1293">
    <mergeCell ref="B1279:H1279"/>
    <mergeCell ref="B1244:K1244"/>
    <mergeCell ref="B1245:K1245"/>
    <mergeCell ref="B1246:K1246"/>
    <mergeCell ref="C1170:G1170"/>
    <mergeCell ref="B1184:K1184"/>
    <mergeCell ref="B1186:K1186"/>
    <mergeCell ref="B1187:K1187"/>
    <mergeCell ref="B1189:K1189"/>
    <mergeCell ref="B1190:K1190"/>
    <mergeCell ref="B1159:K1159"/>
    <mergeCell ref="B1160:K1160"/>
    <mergeCell ref="B1161:K1161"/>
    <mergeCell ref="B1162:K1162"/>
    <mergeCell ref="B1164:K1164"/>
    <mergeCell ref="B1166:G1166"/>
    <mergeCell ref="B1211:K1211"/>
    <mergeCell ref="B1215:K1215"/>
    <mergeCell ref="B1214:K1214"/>
    <mergeCell ref="B1243:K1243"/>
    <mergeCell ref="B1266:K1266"/>
    <mergeCell ref="B1269:K1269"/>
    <mergeCell ref="B1271:K1271"/>
    <mergeCell ref="B1247:K1247"/>
    <mergeCell ref="B1261:K1261"/>
    <mergeCell ref="B1249:K1249"/>
    <mergeCell ref="B1251:K1251"/>
    <mergeCell ref="B1254:B1257"/>
    <mergeCell ref="C1254:E1254"/>
    <mergeCell ref="D1222:H1222"/>
    <mergeCell ref="D1223:H1223"/>
    <mergeCell ref="B1225:K1225"/>
    <mergeCell ref="B1144:K1144"/>
    <mergeCell ref="B1227:K1227"/>
    <mergeCell ref="B1229:F1229"/>
    <mergeCell ref="F1234:F1237"/>
    <mergeCell ref="B1286:K1286"/>
    <mergeCell ref="B1273:K1273"/>
    <mergeCell ref="B1275:B1278"/>
    <mergeCell ref="C1275:E1275"/>
    <mergeCell ref="F1275:H1275"/>
    <mergeCell ref="B25:K25"/>
    <mergeCell ref="H202:J202"/>
    <mergeCell ref="B200:J200"/>
    <mergeCell ref="B231:B232"/>
    <mergeCell ref="C231:C232"/>
    <mergeCell ref="D231:D232"/>
    <mergeCell ref="B207:B208"/>
    <mergeCell ref="C207:C208"/>
    <mergeCell ref="B84:K84"/>
    <mergeCell ref="B85:K85"/>
    <mergeCell ref="C1276:D1276"/>
    <mergeCell ref="E1276:E1277"/>
    <mergeCell ref="F1276:G1276"/>
    <mergeCell ref="H1276:H1277"/>
    <mergeCell ref="B1263:K1263"/>
    <mergeCell ref="B1264:K1264"/>
    <mergeCell ref="B1265:K1265"/>
    <mergeCell ref="B1216:K1216"/>
    <mergeCell ref="B1218:B1219"/>
    <mergeCell ref="C1218:C1219"/>
    <mergeCell ref="D1218:H1219"/>
    <mergeCell ref="D1220:H1220"/>
    <mergeCell ref="D1221:H1221"/>
    <mergeCell ref="B1153:K1153"/>
    <mergeCell ref="B1155:K1155"/>
    <mergeCell ref="B1156:K1156"/>
    <mergeCell ref="B1157:K1157"/>
    <mergeCell ref="B1158:K1158"/>
    <mergeCell ref="B1145:K1145"/>
    <mergeCell ref="M1145:M1147"/>
    <mergeCell ref="B1146:K1146"/>
    <mergeCell ref="B1147:K1147"/>
    <mergeCell ref="B1148:K1148"/>
    <mergeCell ref="B1149:K1149"/>
    <mergeCell ref="M1149:M1151"/>
    <mergeCell ref="B1150:K1150"/>
    <mergeCell ref="B1151:K1151"/>
    <mergeCell ref="D1207:H1207"/>
    <mergeCell ref="D1208:H1208"/>
    <mergeCell ref="D1209:H1209"/>
    <mergeCell ref="D1197:H1197"/>
    <mergeCell ref="B1192:B1193"/>
    <mergeCell ref="C1192:C1193"/>
    <mergeCell ref="D1192:H1193"/>
    <mergeCell ref="D1194:H1194"/>
    <mergeCell ref="B1199:K1199"/>
    <mergeCell ref="B1201:K1201"/>
    <mergeCell ref="B1202:K1202"/>
    <mergeCell ref="B1204:B1205"/>
    <mergeCell ref="C1204:C1205"/>
    <mergeCell ref="D1204:H1205"/>
    <mergeCell ref="D1195:H1195"/>
    <mergeCell ref="D1196:H1196"/>
    <mergeCell ref="D1206:H1206"/>
    <mergeCell ref="B1118:K1118"/>
    <mergeCell ref="B1119:K1119"/>
    <mergeCell ref="B1120:K1120"/>
    <mergeCell ref="B1121:K1121"/>
    <mergeCell ref="B1122:K1122"/>
    <mergeCell ref="B1124:G1124"/>
    <mergeCell ref="B1111:K1111"/>
    <mergeCell ref="B1112:K1112"/>
    <mergeCell ref="M1112:M1114"/>
    <mergeCell ref="B1113:K1113"/>
    <mergeCell ref="B1114:K1114"/>
    <mergeCell ref="B1116:K1116"/>
    <mergeCell ref="B1137:B1138"/>
    <mergeCell ref="C1137:C1138"/>
    <mergeCell ref="D1137:D1138"/>
    <mergeCell ref="F1137:H1137"/>
    <mergeCell ref="I1137:I1139"/>
    <mergeCell ref="B1126:B1127"/>
    <mergeCell ref="C1126:C1127"/>
    <mergeCell ref="D1126:D1127"/>
    <mergeCell ref="E1127:G1127"/>
    <mergeCell ref="B1133:K1133"/>
    <mergeCell ref="B1135:I1135"/>
    <mergeCell ref="B1093:K1093"/>
    <mergeCell ref="B1083:K1083"/>
    <mergeCell ref="B1084:K1084"/>
    <mergeCell ref="B1085:K1085"/>
    <mergeCell ref="M1085:M1087"/>
    <mergeCell ref="B1086:K1086"/>
    <mergeCell ref="B1106:K1106"/>
    <mergeCell ref="B1107:K1107"/>
    <mergeCell ref="B1108:K1108"/>
    <mergeCell ref="M1108:M1110"/>
    <mergeCell ref="B1109:K1109"/>
    <mergeCell ref="B1110:K1110"/>
    <mergeCell ref="B1095:K1095"/>
    <mergeCell ref="B1097:B1098"/>
    <mergeCell ref="C1097:C1098"/>
    <mergeCell ref="D1097:D1098"/>
    <mergeCell ref="F1097:G1097"/>
    <mergeCell ref="I1097:K1097"/>
    <mergeCell ref="M1064:M1066"/>
    <mergeCell ref="B1065:K1065"/>
    <mergeCell ref="B1066:K1066"/>
    <mergeCell ref="B1056:B1057"/>
    <mergeCell ref="C1056:C1057"/>
    <mergeCell ref="B1062:K1062"/>
    <mergeCell ref="B1063:K1063"/>
    <mergeCell ref="B1064:K1064"/>
    <mergeCell ref="B1088:K1088"/>
    <mergeCell ref="B1087:K1087"/>
    <mergeCell ref="B1068:K1068"/>
    <mergeCell ref="B1070:K1070"/>
    <mergeCell ref="B1072:B1073"/>
    <mergeCell ref="B1089:K1089"/>
    <mergeCell ref="M1089:M1091"/>
    <mergeCell ref="B1090:K1090"/>
    <mergeCell ref="B1091:K1091"/>
    <mergeCell ref="B1032:B1033"/>
    <mergeCell ref="B1034:B1035"/>
    <mergeCell ref="B1036:B1037"/>
    <mergeCell ref="B1038:C1038"/>
    <mergeCell ref="B1040:K1040"/>
    <mergeCell ref="B1041:K1041"/>
    <mergeCell ref="B1046:K1046"/>
    <mergeCell ref="B1048:K1048"/>
    <mergeCell ref="B1050:B1051"/>
    <mergeCell ref="C1050:C1051"/>
    <mergeCell ref="D1050:D1051"/>
    <mergeCell ref="E1050:G1050"/>
    <mergeCell ref="I1050:K1050"/>
    <mergeCell ref="C1072:C1073"/>
    <mergeCell ref="D1072:F1072"/>
    <mergeCell ref="H1072:J1072"/>
    <mergeCell ref="K1072:K1074"/>
    <mergeCell ref="M984:M986"/>
    <mergeCell ref="B985:K985"/>
    <mergeCell ref="B986:K986"/>
    <mergeCell ref="B988:K988"/>
    <mergeCell ref="B990:K990"/>
    <mergeCell ref="B992:B993"/>
    <mergeCell ref="C992:C993"/>
    <mergeCell ref="D992:H993"/>
    <mergeCell ref="I992:K992"/>
    <mergeCell ref="M1004:M1006"/>
    <mergeCell ref="B1005:K1005"/>
    <mergeCell ref="B1006:K1006"/>
    <mergeCell ref="K995:K996"/>
    <mergeCell ref="D996:H996"/>
    <mergeCell ref="D997:H997"/>
    <mergeCell ref="D998:H998"/>
    <mergeCell ref="D999:H999"/>
    <mergeCell ref="B1001:K1001"/>
    <mergeCell ref="D969:H969"/>
    <mergeCell ref="D970:H970"/>
    <mergeCell ref="D971:H971"/>
    <mergeCell ref="D965:H965"/>
    <mergeCell ref="B966:B967"/>
    <mergeCell ref="C966:C967"/>
    <mergeCell ref="D966:H966"/>
    <mergeCell ref="D978:H978"/>
    <mergeCell ref="D979:H979"/>
    <mergeCell ref="D980:H980"/>
    <mergeCell ref="D981:H981"/>
    <mergeCell ref="B983:K983"/>
    <mergeCell ref="B984:K984"/>
    <mergeCell ref="D972:H972"/>
    <mergeCell ref="D973:H973"/>
    <mergeCell ref="D974:H974"/>
    <mergeCell ref="D975:H975"/>
    <mergeCell ref="D976:H976"/>
    <mergeCell ref="D977:H977"/>
    <mergeCell ref="D948:G948"/>
    <mergeCell ref="D949:G949"/>
    <mergeCell ref="D950:G950"/>
    <mergeCell ref="B963:B964"/>
    <mergeCell ref="C963:C964"/>
    <mergeCell ref="D963:H964"/>
    <mergeCell ref="D951:G951"/>
    <mergeCell ref="M955:M957"/>
    <mergeCell ref="B956:K956"/>
    <mergeCell ref="B957:K957"/>
    <mergeCell ref="D952:G952"/>
    <mergeCell ref="B954:K954"/>
    <mergeCell ref="B955:K955"/>
    <mergeCell ref="K966:K967"/>
    <mergeCell ref="D967:H967"/>
    <mergeCell ref="D968:H968"/>
    <mergeCell ref="I966:I967"/>
    <mergeCell ref="J966:J967"/>
    <mergeCell ref="B959:K959"/>
    <mergeCell ref="B961:K961"/>
    <mergeCell ref="I963:K963"/>
    <mergeCell ref="J946:J947"/>
    <mergeCell ref="K946:K947"/>
    <mergeCell ref="D947:G947"/>
    <mergeCell ref="B926:B927"/>
    <mergeCell ref="C926:C927"/>
    <mergeCell ref="D926:H927"/>
    <mergeCell ref="I926:K926"/>
    <mergeCell ref="D928:H928"/>
    <mergeCell ref="B929:B930"/>
    <mergeCell ref="C929:C930"/>
    <mergeCell ref="D945:G945"/>
    <mergeCell ref="B946:B947"/>
    <mergeCell ref="C946:C947"/>
    <mergeCell ref="D946:G946"/>
    <mergeCell ref="H946:H947"/>
    <mergeCell ref="I946:I947"/>
    <mergeCell ref="M935:M937"/>
    <mergeCell ref="B936:K936"/>
    <mergeCell ref="B937:K937"/>
    <mergeCell ref="B939:K939"/>
    <mergeCell ref="B941:K941"/>
    <mergeCell ref="B943:B944"/>
    <mergeCell ref="C943:C944"/>
    <mergeCell ref="D943:G944"/>
    <mergeCell ref="H943:H944"/>
    <mergeCell ref="I943:K943"/>
    <mergeCell ref="M918:M920"/>
    <mergeCell ref="B919:K919"/>
    <mergeCell ref="B920:K920"/>
    <mergeCell ref="B922:K922"/>
    <mergeCell ref="B924:K924"/>
    <mergeCell ref="C899:D899"/>
    <mergeCell ref="C900:D900"/>
    <mergeCell ref="C901:D901"/>
    <mergeCell ref="C902:D902"/>
    <mergeCell ref="C903:D903"/>
    <mergeCell ref="D932:H932"/>
    <mergeCell ref="B934:K934"/>
    <mergeCell ref="B935:K935"/>
    <mergeCell ref="C911:D911"/>
    <mergeCell ref="C912:D912"/>
    <mergeCell ref="C913:D913"/>
    <mergeCell ref="C914:D914"/>
    <mergeCell ref="C915:D915"/>
    <mergeCell ref="B917:K917"/>
    <mergeCell ref="B918:K918"/>
    <mergeCell ref="D929:H929"/>
    <mergeCell ref="I929:I930"/>
    <mergeCell ref="J929:J930"/>
    <mergeCell ref="K929:K930"/>
    <mergeCell ref="D930:H930"/>
    <mergeCell ref="D931:H931"/>
    <mergeCell ref="C896:D896"/>
    <mergeCell ref="C897:D897"/>
    <mergeCell ref="C898:D898"/>
    <mergeCell ref="B879:K879"/>
    <mergeCell ref="B881:K881"/>
    <mergeCell ref="B883:B886"/>
    <mergeCell ref="C883:D886"/>
    <mergeCell ref="E883:J883"/>
    <mergeCell ref="K883:K887"/>
    <mergeCell ref="E884:G884"/>
    <mergeCell ref="C910:D910"/>
    <mergeCell ref="I888:I889"/>
    <mergeCell ref="J888:J889"/>
    <mergeCell ref="C889:D889"/>
    <mergeCell ref="C890:D890"/>
    <mergeCell ref="C891:D891"/>
    <mergeCell ref="C892:D892"/>
    <mergeCell ref="C893:D893"/>
    <mergeCell ref="C894:D894"/>
    <mergeCell ref="C895:D895"/>
    <mergeCell ref="C904:D904"/>
    <mergeCell ref="C905:D905"/>
    <mergeCell ref="C906:D906"/>
    <mergeCell ref="C907:D907"/>
    <mergeCell ref="C908:D908"/>
    <mergeCell ref="C909:D909"/>
    <mergeCell ref="B873:K873"/>
    <mergeCell ref="B874:K874"/>
    <mergeCell ref="B875:K875"/>
    <mergeCell ref="M875:M877"/>
    <mergeCell ref="B876:K876"/>
    <mergeCell ref="B877:K877"/>
    <mergeCell ref="I868:I869"/>
    <mergeCell ref="J868:J869"/>
    <mergeCell ref="K868:K869"/>
    <mergeCell ref="D869:G869"/>
    <mergeCell ref="D870:G870"/>
    <mergeCell ref="D871:G871"/>
    <mergeCell ref="H884:J884"/>
    <mergeCell ref="C887:D887"/>
    <mergeCell ref="B888:B889"/>
    <mergeCell ref="C888:D888"/>
    <mergeCell ref="E888:E889"/>
    <mergeCell ref="F888:F889"/>
    <mergeCell ref="G888:G889"/>
    <mergeCell ref="H888:H889"/>
    <mergeCell ref="D860:G860"/>
    <mergeCell ref="B861:B862"/>
    <mergeCell ref="C861:C862"/>
    <mergeCell ref="D861:G861"/>
    <mergeCell ref="H861:H862"/>
    <mergeCell ref="I861:I862"/>
    <mergeCell ref="B854:K854"/>
    <mergeCell ref="B856:K856"/>
    <mergeCell ref="B858:B859"/>
    <mergeCell ref="C858:C859"/>
    <mergeCell ref="D858:G859"/>
    <mergeCell ref="H858:H859"/>
    <mergeCell ref="I858:K858"/>
    <mergeCell ref="D866:G866"/>
    <mergeCell ref="D867:G867"/>
    <mergeCell ref="B868:B869"/>
    <mergeCell ref="C868:C869"/>
    <mergeCell ref="D868:G868"/>
    <mergeCell ref="H868:H869"/>
    <mergeCell ref="J861:J862"/>
    <mergeCell ref="K861:K862"/>
    <mergeCell ref="D862:G862"/>
    <mergeCell ref="D863:G863"/>
    <mergeCell ref="D864:G864"/>
    <mergeCell ref="D865:G865"/>
    <mergeCell ref="D836:H836"/>
    <mergeCell ref="D837:H837"/>
    <mergeCell ref="D838:H838"/>
    <mergeCell ref="D839:H839"/>
    <mergeCell ref="D840:H840"/>
    <mergeCell ref="K830:K831"/>
    <mergeCell ref="D831:H831"/>
    <mergeCell ref="C832:G832"/>
    <mergeCell ref="C833:G833"/>
    <mergeCell ref="B848:K848"/>
    <mergeCell ref="B849:K849"/>
    <mergeCell ref="B850:K850"/>
    <mergeCell ref="M850:M852"/>
    <mergeCell ref="B851:K851"/>
    <mergeCell ref="B852:K852"/>
    <mergeCell ref="D841:H841"/>
    <mergeCell ref="D842:H842"/>
    <mergeCell ref="D843:H843"/>
    <mergeCell ref="D844:H844"/>
    <mergeCell ref="D845:H845"/>
    <mergeCell ref="B847:K847"/>
    <mergeCell ref="B823:K823"/>
    <mergeCell ref="B825:K825"/>
    <mergeCell ref="B827:B828"/>
    <mergeCell ref="C827:C828"/>
    <mergeCell ref="D827:H828"/>
    <mergeCell ref="I827:K827"/>
    <mergeCell ref="B834:B835"/>
    <mergeCell ref="C834:C835"/>
    <mergeCell ref="D834:H834"/>
    <mergeCell ref="I834:I835"/>
    <mergeCell ref="J834:J835"/>
    <mergeCell ref="K834:K835"/>
    <mergeCell ref="D835:H835"/>
    <mergeCell ref="D829:H829"/>
    <mergeCell ref="B830:B831"/>
    <mergeCell ref="C830:C831"/>
    <mergeCell ref="D830:H830"/>
    <mergeCell ref="I830:I831"/>
    <mergeCell ref="J830:J831"/>
    <mergeCell ref="B804:K804"/>
    <mergeCell ref="M804:M806"/>
    <mergeCell ref="B805:K805"/>
    <mergeCell ref="B806:K806"/>
    <mergeCell ref="B817:K817"/>
    <mergeCell ref="B818:K818"/>
    <mergeCell ref="B819:K819"/>
    <mergeCell ref="M810:M812"/>
    <mergeCell ref="B811:K811"/>
    <mergeCell ref="B812:K812"/>
    <mergeCell ref="B807:J807"/>
    <mergeCell ref="B808:J808"/>
    <mergeCell ref="B809:K809"/>
    <mergeCell ref="B810:K810"/>
    <mergeCell ref="M819:M821"/>
    <mergeCell ref="B820:K820"/>
    <mergeCell ref="B821:K821"/>
    <mergeCell ref="B814:K814"/>
    <mergeCell ref="B815:K815"/>
    <mergeCell ref="B816:K816"/>
    <mergeCell ref="B791:J791"/>
    <mergeCell ref="F792:F794"/>
    <mergeCell ref="I792:I794"/>
    <mergeCell ref="B795:J795"/>
    <mergeCell ref="F796:F799"/>
    <mergeCell ref="I796:I799"/>
    <mergeCell ref="B754:K754"/>
    <mergeCell ref="B778:K778"/>
    <mergeCell ref="B780:K780"/>
    <mergeCell ref="B781:K781"/>
    <mergeCell ref="B787:J787"/>
    <mergeCell ref="F788:F790"/>
    <mergeCell ref="I788:I790"/>
    <mergeCell ref="J788:J790"/>
    <mergeCell ref="B801:J801"/>
    <mergeCell ref="B802:J802"/>
    <mergeCell ref="B803:J803"/>
    <mergeCell ref="B744:K744"/>
    <mergeCell ref="B706:K706"/>
    <mergeCell ref="B708:H708"/>
    <mergeCell ref="B710:B711"/>
    <mergeCell ref="C710:C711"/>
    <mergeCell ref="D710:D711"/>
    <mergeCell ref="F710:H710"/>
    <mergeCell ref="I710:I712"/>
    <mergeCell ref="M744:M746"/>
    <mergeCell ref="B745:K745"/>
    <mergeCell ref="B746:K746"/>
    <mergeCell ref="B748:K748"/>
    <mergeCell ref="B750:K750"/>
    <mergeCell ref="B751:K751"/>
    <mergeCell ref="M751:M753"/>
    <mergeCell ref="B752:K752"/>
    <mergeCell ref="B753:K753"/>
    <mergeCell ref="B695:J695"/>
    <mergeCell ref="B697:B698"/>
    <mergeCell ref="C697:D697"/>
    <mergeCell ref="E697:E698"/>
    <mergeCell ref="F697:G697"/>
    <mergeCell ref="I697:J697"/>
    <mergeCell ref="B682:K682"/>
    <mergeCell ref="B684:I684"/>
    <mergeCell ref="B686:B687"/>
    <mergeCell ref="C686:D686"/>
    <mergeCell ref="E686:F686"/>
    <mergeCell ref="H686:I686"/>
    <mergeCell ref="B739:K739"/>
    <mergeCell ref="B740:K740"/>
    <mergeCell ref="B741:K741"/>
    <mergeCell ref="B742:K742"/>
    <mergeCell ref="B743:K743"/>
    <mergeCell ref="B659:K659"/>
    <mergeCell ref="I661:K661"/>
    <mergeCell ref="B675:K675"/>
    <mergeCell ref="B676:K676"/>
    <mergeCell ref="M676:M678"/>
    <mergeCell ref="B677:K677"/>
    <mergeCell ref="B678:K678"/>
    <mergeCell ref="B661:B662"/>
    <mergeCell ref="C661:C662"/>
    <mergeCell ref="B667:K667"/>
    <mergeCell ref="E661:G661"/>
    <mergeCell ref="B680:K680"/>
    <mergeCell ref="B668:K668"/>
    <mergeCell ref="M668:M670"/>
    <mergeCell ref="B669:K669"/>
    <mergeCell ref="B670:K670"/>
    <mergeCell ref="B671:K671"/>
    <mergeCell ref="B672:K672"/>
    <mergeCell ref="M672:M674"/>
    <mergeCell ref="B673:K673"/>
    <mergeCell ref="B674:K674"/>
    <mergeCell ref="B648:K648"/>
    <mergeCell ref="B649:K649"/>
    <mergeCell ref="M649:M651"/>
    <mergeCell ref="B650:K650"/>
    <mergeCell ref="B651:K651"/>
    <mergeCell ref="B652:K652"/>
    <mergeCell ref="B643:K643"/>
    <mergeCell ref="B644:K644"/>
    <mergeCell ref="B645:K645"/>
    <mergeCell ref="M645:M647"/>
    <mergeCell ref="B646:K646"/>
    <mergeCell ref="B647:K647"/>
    <mergeCell ref="B653:K653"/>
    <mergeCell ref="M653:M655"/>
    <mergeCell ref="B654:K654"/>
    <mergeCell ref="B655:K655"/>
    <mergeCell ref="B657:K657"/>
    <mergeCell ref="M629:M631"/>
    <mergeCell ref="B630:K630"/>
    <mergeCell ref="B631:K631"/>
    <mergeCell ref="B620:K620"/>
    <mergeCell ref="B621:K621"/>
    <mergeCell ref="M621:M623"/>
    <mergeCell ref="B622:K622"/>
    <mergeCell ref="B623:K623"/>
    <mergeCell ref="B624:K624"/>
    <mergeCell ref="B632:K632"/>
    <mergeCell ref="B634:K634"/>
    <mergeCell ref="B636:K636"/>
    <mergeCell ref="B638:B639"/>
    <mergeCell ref="C638:C639"/>
    <mergeCell ref="B625:K625"/>
    <mergeCell ref="I638:K638"/>
    <mergeCell ref="E638:G638"/>
    <mergeCell ref="B628:K628"/>
    <mergeCell ref="B629:K629"/>
    <mergeCell ref="B603:K603"/>
    <mergeCell ref="B604:K604"/>
    <mergeCell ref="M604:M606"/>
    <mergeCell ref="B605:K605"/>
    <mergeCell ref="B606:K606"/>
    <mergeCell ref="B595:K595"/>
    <mergeCell ref="B596:K596"/>
    <mergeCell ref="M596:M598"/>
    <mergeCell ref="B597:K597"/>
    <mergeCell ref="B598:K598"/>
    <mergeCell ref="B609:K609"/>
    <mergeCell ref="B611:K611"/>
    <mergeCell ref="B613:B614"/>
    <mergeCell ref="C613:C614"/>
    <mergeCell ref="B600:K600"/>
    <mergeCell ref="M625:M627"/>
    <mergeCell ref="B626:K626"/>
    <mergeCell ref="B627:K627"/>
    <mergeCell ref="I613:K613"/>
    <mergeCell ref="E613:G613"/>
    <mergeCell ref="B578:K578"/>
    <mergeCell ref="M578:M580"/>
    <mergeCell ref="B579:K579"/>
    <mergeCell ref="B580:K580"/>
    <mergeCell ref="B582:K582"/>
    <mergeCell ref="B584:J584"/>
    <mergeCell ref="B573:K573"/>
    <mergeCell ref="B574:K574"/>
    <mergeCell ref="M574:M576"/>
    <mergeCell ref="B575:K575"/>
    <mergeCell ref="B576:K576"/>
    <mergeCell ref="B577:K577"/>
    <mergeCell ref="B592:K592"/>
    <mergeCell ref="B586:B587"/>
    <mergeCell ref="C586:C587"/>
    <mergeCell ref="B591:K591"/>
    <mergeCell ref="M600:M602"/>
    <mergeCell ref="B601:K601"/>
    <mergeCell ref="B602:K602"/>
    <mergeCell ref="E586:G586"/>
    <mergeCell ref="I586:K586"/>
    <mergeCell ref="B599:K599"/>
    <mergeCell ref="B555:K555"/>
    <mergeCell ref="B557:B558"/>
    <mergeCell ref="C557:C558"/>
    <mergeCell ref="D557:D558"/>
    <mergeCell ref="B548:K548"/>
    <mergeCell ref="M548:M550"/>
    <mergeCell ref="B549:K549"/>
    <mergeCell ref="B550:K550"/>
    <mergeCell ref="B551:K551"/>
    <mergeCell ref="B553:K553"/>
    <mergeCell ref="F557:G557"/>
    <mergeCell ref="I557:K557"/>
    <mergeCell ref="B568:K568"/>
    <mergeCell ref="B569:K569"/>
    <mergeCell ref="B570:K570"/>
    <mergeCell ref="M570:M572"/>
    <mergeCell ref="B571:K571"/>
    <mergeCell ref="B572:K572"/>
    <mergeCell ref="B562:C562"/>
    <mergeCell ref="B563:C563"/>
    <mergeCell ref="B564:C564"/>
    <mergeCell ref="B565:C565"/>
    <mergeCell ref="B567:K567"/>
    <mergeCell ref="B561:K561"/>
    <mergeCell ref="B527:B528"/>
    <mergeCell ref="C527:C528"/>
    <mergeCell ref="B518:K518"/>
    <mergeCell ref="B519:K519"/>
    <mergeCell ref="M519:M521"/>
    <mergeCell ref="B520:K520"/>
    <mergeCell ref="B521:K521"/>
    <mergeCell ref="B523:K523"/>
    <mergeCell ref="E527:G527"/>
    <mergeCell ref="I527:K527"/>
    <mergeCell ref="B543:K543"/>
    <mergeCell ref="B544:K544"/>
    <mergeCell ref="M544:M546"/>
    <mergeCell ref="B545:K545"/>
    <mergeCell ref="B546:K546"/>
    <mergeCell ref="B547:K547"/>
    <mergeCell ref="B537:K537"/>
    <mergeCell ref="B538:K538"/>
    <mergeCell ref="B539:K539"/>
    <mergeCell ref="B540:K540"/>
    <mergeCell ref="M540:M542"/>
    <mergeCell ref="B541:K541"/>
    <mergeCell ref="B542:K542"/>
    <mergeCell ref="B514:K514"/>
    <mergeCell ref="C507:C508"/>
    <mergeCell ref="D507:F507"/>
    <mergeCell ref="G507:G509"/>
    <mergeCell ref="B494:K494"/>
    <mergeCell ref="B495:K495"/>
    <mergeCell ref="B515:K515"/>
    <mergeCell ref="M515:M517"/>
    <mergeCell ref="B516:K516"/>
    <mergeCell ref="B517:K517"/>
    <mergeCell ref="M499:M501"/>
    <mergeCell ref="B500:K500"/>
    <mergeCell ref="B501:K501"/>
    <mergeCell ref="B503:K503"/>
    <mergeCell ref="B505:G505"/>
    <mergeCell ref="B507:B508"/>
    <mergeCell ref="B525:J525"/>
    <mergeCell ref="M473:M475"/>
    <mergeCell ref="B474:K474"/>
    <mergeCell ref="B475:K475"/>
    <mergeCell ref="B476:K476"/>
    <mergeCell ref="B477:K477"/>
    <mergeCell ref="M477:M479"/>
    <mergeCell ref="B478:K478"/>
    <mergeCell ref="B479:K479"/>
    <mergeCell ref="B496:K496"/>
    <mergeCell ref="B497:K497"/>
    <mergeCell ref="B498:K498"/>
    <mergeCell ref="B499:K499"/>
    <mergeCell ref="B472:K472"/>
    <mergeCell ref="B473:K473"/>
    <mergeCell ref="B481:K481"/>
    <mergeCell ref="B483:K483"/>
    <mergeCell ref="B485:B486"/>
    <mergeCell ref="C485:C486"/>
    <mergeCell ref="B489:K489"/>
    <mergeCell ref="E485:G485"/>
    <mergeCell ref="I485:K485"/>
    <mergeCell ref="B448:K448"/>
    <mergeCell ref="M448:M450"/>
    <mergeCell ref="B449:K449"/>
    <mergeCell ref="B450:K450"/>
    <mergeCell ref="B451:K451"/>
    <mergeCell ref="B452:K452"/>
    <mergeCell ref="M452:M454"/>
    <mergeCell ref="B453:K453"/>
    <mergeCell ref="B454:K454"/>
    <mergeCell ref="B464:K464"/>
    <mergeCell ref="B465:C465"/>
    <mergeCell ref="B466:C466"/>
    <mergeCell ref="B468:K468"/>
    <mergeCell ref="B469:K469"/>
    <mergeCell ref="M469:M471"/>
    <mergeCell ref="B470:K470"/>
    <mergeCell ref="B471:K471"/>
    <mergeCell ref="B456:K456"/>
    <mergeCell ref="B458:K458"/>
    <mergeCell ref="B460:B461"/>
    <mergeCell ref="C460:C461"/>
    <mergeCell ref="D460:D461"/>
    <mergeCell ref="F460:G460"/>
    <mergeCell ref="I460:K460"/>
    <mergeCell ref="B423:K423"/>
    <mergeCell ref="B424:K424"/>
    <mergeCell ref="M424:M426"/>
    <mergeCell ref="B425:K425"/>
    <mergeCell ref="B426:K426"/>
    <mergeCell ref="B443:K443"/>
    <mergeCell ref="B444:K444"/>
    <mergeCell ref="M444:M446"/>
    <mergeCell ref="B445:K445"/>
    <mergeCell ref="B446:K446"/>
    <mergeCell ref="B447:K447"/>
    <mergeCell ref="B428:K428"/>
    <mergeCell ref="B430:K430"/>
    <mergeCell ref="B432:B433"/>
    <mergeCell ref="C432:C433"/>
    <mergeCell ref="I432:K432"/>
    <mergeCell ref="E432:G432"/>
    <mergeCell ref="B398:K398"/>
    <mergeCell ref="B400:K400"/>
    <mergeCell ref="E404:G404"/>
    <mergeCell ref="I404:K404"/>
    <mergeCell ref="B415:K415"/>
    <mergeCell ref="B416:K416"/>
    <mergeCell ref="M416:M418"/>
    <mergeCell ref="B417:K417"/>
    <mergeCell ref="B418:K418"/>
    <mergeCell ref="B419:K419"/>
    <mergeCell ref="B402:K402"/>
    <mergeCell ref="B404:B405"/>
    <mergeCell ref="C404:C405"/>
    <mergeCell ref="B420:K420"/>
    <mergeCell ref="M420:M422"/>
    <mergeCell ref="B421:K421"/>
    <mergeCell ref="B422:K422"/>
    <mergeCell ref="B390:K390"/>
    <mergeCell ref="B391:K391"/>
    <mergeCell ref="B392:K392"/>
    <mergeCell ref="B393:K393"/>
    <mergeCell ref="B347:K347"/>
    <mergeCell ref="B348:K348"/>
    <mergeCell ref="B350:K350"/>
    <mergeCell ref="B352:B353"/>
    <mergeCell ref="C352:C353"/>
    <mergeCell ref="B384:K384"/>
    <mergeCell ref="B385:K385"/>
    <mergeCell ref="M385:M387"/>
    <mergeCell ref="B386:K386"/>
    <mergeCell ref="B387:K387"/>
    <mergeCell ref="B394:K394"/>
    <mergeCell ref="M394:M396"/>
    <mergeCell ref="B395:K395"/>
    <mergeCell ref="B396:K396"/>
    <mergeCell ref="B388:K388"/>
    <mergeCell ref="B369:B370"/>
    <mergeCell ref="C369:C370"/>
    <mergeCell ref="D369:D370"/>
    <mergeCell ref="E369:G369"/>
    <mergeCell ref="H369:J369"/>
    <mergeCell ref="K369:K371"/>
    <mergeCell ref="D352:D353"/>
    <mergeCell ref="E352:G352"/>
    <mergeCell ref="H352:J352"/>
    <mergeCell ref="K352:K354"/>
    <mergeCell ref="M289:M291"/>
    <mergeCell ref="B290:K290"/>
    <mergeCell ref="B291:K291"/>
    <mergeCell ref="B340:K340"/>
    <mergeCell ref="B305:B306"/>
    <mergeCell ref="C305:C306"/>
    <mergeCell ref="B389:K389"/>
    <mergeCell ref="B341:K341"/>
    <mergeCell ref="B342:K342"/>
    <mergeCell ref="M342:M344"/>
    <mergeCell ref="B343:K343"/>
    <mergeCell ref="B344:K344"/>
    <mergeCell ref="B299:K299"/>
    <mergeCell ref="B300:K300"/>
    <mergeCell ref="B301:K301"/>
    <mergeCell ref="B302:J302"/>
    <mergeCell ref="B303:I303"/>
    <mergeCell ref="D305:D306"/>
    <mergeCell ref="E306:I306"/>
    <mergeCell ref="B323:B324"/>
    <mergeCell ref="C323:C324"/>
    <mergeCell ref="D323:D324"/>
    <mergeCell ref="E324:I324"/>
    <mergeCell ref="B367:K367"/>
    <mergeCell ref="B292:K292"/>
    <mergeCell ref="B294:K294"/>
    <mergeCell ref="B202:B203"/>
    <mergeCell ref="C202:C203"/>
    <mergeCell ref="D202:D203"/>
    <mergeCell ref="I272:J272"/>
    <mergeCell ref="B282:K282"/>
    <mergeCell ref="B283:K283"/>
    <mergeCell ref="B295:K295"/>
    <mergeCell ref="B296:K296"/>
    <mergeCell ref="B297:K297"/>
    <mergeCell ref="B298:K298"/>
    <mergeCell ref="B285:K285"/>
    <mergeCell ref="B286:K286"/>
    <mergeCell ref="B287:K287"/>
    <mergeCell ref="B288:K288"/>
    <mergeCell ref="B289:K289"/>
    <mergeCell ref="B262:K262"/>
    <mergeCell ref="B263:K263"/>
    <mergeCell ref="B264:K264"/>
    <mergeCell ref="B265:K265"/>
    <mergeCell ref="H231:J231"/>
    <mergeCell ref="B236:B237"/>
    <mergeCell ref="C236:C237"/>
    <mergeCell ref="B284:K284"/>
    <mergeCell ref="B277:B278"/>
    <mergeCell ref="C277:C278"/>
    <mergeCell ref="B266:K266"/>
    <mergeCell ref="B268:K268"/>
    <mergeCell ref="B270:K270"/>
    <mergeCell ref="B272:B273"/>
    <mergeCell ref="C272:C273"/>
    <mergeCell ref="D272:D273"/>
    <mergeCell ref="F272:G272"/>
    <mergeCell ref="B80:K80"/>
    <mergeCell ref="B81:H81"/>
    <mergeCell ref="B88:H88"/>
    <mergeCell ref="B89:K89"/>
    <mergeCell ref="B116:K116"/>
    <mergeCell ref="B82:K82"/>
    <mergeCell ref="B138:B139"/>
    <mergeCell ref="C138:C139"/>
    <mergeCell ref="D138:D139"/>
    <mergeCell ref="H138:J138"/>
    <mergeCell ref="B195:K195"/>
    <mergeCell ref="G77:K77"/>
    <mergeCell ref="G78:K78"/>
    <mergeCell ref="B113:K113"/>
    <mergeCell ref="B114:K114"/>
    <mergeCell ref="B83:H83"/>
    <mergeCell ref="B86:K86"/>
    <mergeCell ref="B87:K87"/>
    <mergeCell ref="B156:K156"/>
    <mergeCell ref="B158:K158"/>
    <mergeCell ref="C149:K149"/>
    <mergeCell ref="B151:K151"/>
    <mergeCell ref="B152:K152"/>
    <mergeCell ref="B90:H90"/>
    <mergeCell ref="B91:K91"/>
    <mergeCell ref="B93:E93"/>
    <mergeCell ref="B198:K198"/>
    <mergeCell ref="C67:F67"/>
    <mergeCell ref="G67:K67"/>
    <mergeCell ref="C68:F68"/>
    <mergeCell ref="G68:K68"/>
    <mergeCell ref="C69:F69"/>
    <mergeCell ref="G69:K69"/>
    <mergeCell ref="B62:K62"/>
    <mergeCell ref="C64:F64"/>
    <mergeCell ref="G64:K64"/>
    <mergeCell ref="C65:F65"/>
    <mergeCell ref="G65:K65"/>
    <mergeCell ref="C66:F66"/>
    <mergeCell ref="G66:K66"/>
    <mergeCell ref="M152:M154"/>
    <mergeCell ref="B153:K153"/>
    <mergeCell ref="B154:K154"/>
    <mergeCell ref="B118:H118"/>
    <mergeCell ref="B131:K131"/>
    <mergeCell ref="B132:K132"/>
    <mergeCell ref="B134:K134"/>
    <mergeCell ref="B136:J136"/>
    <mergeCell ref="B71:K71"/>
    <mergeCell ref="C73:F73"/>
    <mergeCell ref="G73:K73"/>
    <mergeCell ref="G74:K74"/>
    <mergeCell ref="G75:K75"/>
    <mergeCell ref="G76:K76"/>
    <mergeCell ref="B197:K197"/>
    <mergeCell ref="B159:K159"/>
    <mergeCell ref="B161:I161"/>
    <mergeCell ref="B193:K193"/>
    <mergeCell ref="B58:K58"/>
    <mergeCell ref="B59:K59"/>
    <mergeCell ref="B44:K44"/>
    <mergeCell ref="B45:K45"/>
    <mergeCell ref="B46:K46"/>
    <mergeCell ref="B47:K47"/>
    <mergeCell ref="B48:K48"/>
    <mergeCell ref="B49:K49"/>
    <mergeCell ref="B60:K60"/>
    <mergeCell ref="B61:H61"/>
    <mergeCell ref="B50:K50"/>
    <mergeCell ref="B51:K51"/>
    <mergeCell ref="B52:K52"/>
    <mergeCell ref="B53:K53"/>
    <mergeCell ref="B54:K54"/>
    <mergeCell ref="B55:K55"/>
    <mergeCell ref="B56:K56"/>
    <mergeCell ref="B57:K57"/>
    <mergeCell ref="B39:K39"/>
    <mergeCell ref="B40:K40"/>
    <mergeCell ref="B19:C19"/>
    <mergeCell ref="D19:K19"/>
    <mergeCell ref="B20:C20"/>
    <mergeCell ref="D20:K20"/>
    <mergeCell ref="C22:K22"/>
    <mergeCell ref="B24:K24"/>
    <mergeCell ref="B21:C21"/>
    <mergeCell ref="D21:K21"/>
    <mergeCell ref="B41:K41"/>
    <mergeCell ref="B42:K42"/>
    <mergeCell ref="M42:M43"/>
    <mergeCell ref="B43:K43"/>
    <mergeCell ref="C34:D34"/>
    <mergeCell ref="E34:G34"/>
    <mergeCell ref="H34:K34"/>
    <mergeCell ref="B36:K36"/>
    <mergeCell ref="B37:K37"/>
    <mergeCell ref="B38:K38"/>
    <mergeCell ref="C32:D32"/>
    <mergeCell ref="E32:G32"/>
    <mergeCell ref="H32:K32"/>
    <mergeCell ref="C33:D33"/>
    <mergeCell ref="E33:G33"/>
    <mergeCell ref="H33:K33"/>
    <mergeCell ref="B16:C16"/>
    <mergeCell ref="D16:K16"/>
    <mergeCell ref="B17:C17"/>
    <mergeCell ref="D17:K17"/>
    <mergeCell ref="B18:C18"/>
    <mergeCell ref="D18:K18"/>
    <mergeCell ref="B2:K2"/>
    <mergeCell ref="B3:K3"/>
    <mergeCell ref="B6:K6"/>
    <mergeCell ref="B11:K11"/>
    <mergeCell ref="B13:K13"/>
    <mergeCell ref="B15:K15"/>
    <mergeCell ref="C26:K26"/>
    <mergeCell ref="B28:K28"/>
    <mergeCell ref="B29:K29"/>
    <mergeCell ref="B30:K30"/>
    <mergeCell ref="C31:D31"/>
    <mergeCell ref="E31:G31"/>
    <mergeCell ref="H31:K31"/>
    <mergeCell ref="T858:T859"/>
    <mergeCell ref="P860:S860"/>
    <mergeCell ref="N861:N862"/>
    <mergeCell ref="O861:O862"/>
    <mergeCell ref="P861:S861"/>
    <mergeCell ref="T861:T862"/>
    <mergeCell ref="P862:S862"/>
    <mergeCell ref="P841:S841"/>
    <mergeCell ref="P842:S842"/>
    <mergeCell ref="P843:S843"/>
    <mergeCell ref="T827:V827"/>
    <mergeCell ref="N854:W854"/>
    <mergeCell ref="O827:O828"/>
    <mergeCell ref="P827:S828"/>
    <mergeCell ref="P829:S829"/>
    <mergeCell ref="P830:S830"/>
    <mergeCell ref="P833:S833"/>
    <mergeCell ref="P834:S834"/>
    <mergeCell ref="P835:S835"/>
    <mergeCell ref="P836:S836"/>
    <mergeCell ref="P837:S837"/>
    <mergeCell ref="P838:S838"/>
    <mergeCell ref="P839:S839"/>
    <mergeCell ref="P840:S840"/>
    <mergeCell ref="N831:R831"/>
    <mergeCell ref="N832:R832"/>
    <mergeCell ref="N827:N828"/>
    <mergeCell ref="O889:P889"/>
    <mergeCell ref="P873:S873"/>
    <mergeCell ref="N856:W856"/>
    <mergeCell ref="U858:W858"/>
    <mergeCell ref="U861:U862"/>
    <mergeCell ref="U865:U866"/>
    <mergeCell ref="U870:U871"/>
    <mergeCell ref="V861:V862"/>
    <mergeCell ref="V865:V866"/>
    <mergeCell ref="V870:V871"/>
    <mergeCell ref="W861:W862"/>
    <mergeCell ref="W865:W866"/>
    <mergeCell ref="W870:W871"/>
    <mergeCell ref="P864:S864"/>
    <mergeCell ref="P868:S868"/>
    <mergeCell ref="P869:S869"/>
    <mergeCell ref="P863:S863"/>
    <mergeCell ref="N865:N866"/>
    <mergeCell ref="O865:O866"/>
    <mergeCell ref="P865:S865"/>
    <mergeCell ref="T865:T866"/>
    <mergeCell ref="P866:S866"/>
    <mergeCell ref="P867:S867"/>
    <mergeCell ref="N870:N871"/>
    <mergeCell ref="O870:O871"/>
    <mergeCell ref="P870:S870"/>
    <mergeCell ref="T870:T871"/>
    <mergeCell ref="P871:S871"/>
    <mergeCell ref="P872:S872"/>
    <mergeCell ref="N858:N859"/>
    <mergeCell ref="O858:O859"/>
    <mergeCell ref="P858:S859"/>
    <mergeCell ref="N825:W825"/>
    <mergeCell ref="O899:P899"/>
    <mergeCell ref="O900:P900"/>
    <mergeCell ref="O901:P901"/>
    <mergeCell ref="O902:P902"/>
    <mergeCell ref="O903:P903"/>
    <mergeCell ref="O904:P904"/>
    <mergeCell ref="O890:P890"/>
    <mergeCell ref="O891:P891"/>
    <mergeCell ref="O892:P892"/>
    <mergeCell ref="O893:P893"/>
    <mergeCell ref="O894:P894"/>
    <mergeCell ref="O895:P895"/>
    <mergeCell ref="O896:P896"/>
    <mergeCell ref="O897:P897"/>
    <mergeCell ref="O898:P898"/>
    <mergeCell ref="N881:W881"/>
    <mergeCell ref="N883:N886"/>
    <mergeCell ref="O883:P886"/>
    <mergeCell ref="Q883:V883"/>
    <mergeCell ref="W883:W887"/>
    <mergeCell ref="Q884:S884"/>
    <mergeCell ref="T884:V884"/>
    <mergeCell ref="O887:P887"/>
    <mergeCell ref="N888:N889"/>
    <mergeCell ref="O888:P888"/>
    <mergeCell ref="Q888:Q889"/>
    <mergeCell ref="R888:R889"/>
    <mergeCell ref="S888:S889"/>
    <mergeCell ref="T888:T889"/>
    <mergeCell ref="U888:U889"/>
    <mergeCell ref="V888:V889"/>
    <mergeCell ref="N926:N927"/>
    <mergeCell ref="O926:O927"/>
    <mergeCell ref="P926:T927"/>
    <mergeCell ref="U926:W926"/>
    <mergeCell ref="P928:T928"/>
    <mergeCell ref="N929:N930"/>
    <mergeCell ref="O929:O930"/>
    <mergeCell ref="P929:T929"/>
    <mergeCell ref="U929:U930"/>
    <mergeCell ref="V929:V930"/>
    <mergeCell ref="W929:W930"/>
    <mergeCell ref="P930:T930"/>
    <mergeCell ref="O905:P905"/>
    <mergeCell ref="O906:P906"/>
    <mergeCell ref="O907:P907"/>
    <mergeCell ref="O908:P908"/>
    <mergeCell ref="O909:P909"/>
    <mergeCell ref="O910:P910"/>
    <mergeCell ref="O911:P911"/>
    <mergeCell ref="O912:P912"/>
    <mergeCell ref="N988:W988"/>
    <mergeCell ref="N879:W879"/>
    <mergeCell ref="N990:W990"/>
    <mergeCell ref="N992:N993"/>
    <mergeCell ref="O992:O993"/>
    <mergeCell ref="P992:T993"/>
    <mergeCell ref="N946:N947"/>
    <mergeCell ref="O946:O947"/>
    <mergeCell ref="P946:S946"/>
    <mergeCell ref="T946:T947"/>
    <mergeCell ref="P994:T994"/>
    <mergeCell ref="P949:S949"/>
    <mergeCell ref="P950:S950"/>
    <mergeCell ref="P951:S951"/>
    <mergeCell ref="P952:S952"/>
    <mergeCell ref="U943:W943"/>
    <mergeCell ref="U946:U947"/>
    <mergeCell ref="V946:V947"/>
    <mergeCell ref="W946:W947"/>
    <mergeCell ref="P945:S945"/>
    <mergeCell ref="P947:S947"/>
    <mergeCell ref="P948:S948"/>
    <mergeCell ref="P931:T931"/>
    <mergeCell ref="P932:T932"/>
    <mergeCell ref="N924:W924"/>
    <mergeCell ref="N939:W939"/>
    <mergeCell ref="N941:W941"/>
    <mergeCell ref="N943:N944"/>
    <mergeCell ref="O943:O944"/>
    <mergeCell ref="P943:S944"/>
    <mergeCell ref="T943:T944"/>
    <mergeCell ref="N922:W922"/>
    <mergeCell ref="U992:W992"/>
    <mergeCell ref="U995:U996"/>
    <mergeCell ref="U997:U998"/>
    <mergeCell ref="V995:V996"/>
    <mergeCell ref="W995:W996"/>
    <mergeCell ref="V997:V998"/>
    <mergeCell ref="B1008:K1008"/>
    <mergeCell ref="W997:W998"/>
    <mergeCell ref="P999:T999"/>
    <mergeCell ref="P1000:T1000"/>
    <mergeCell ref="P1001:T1001"/>
    <mergeCell ref="P1002:T1002"/>
    <mergeCell ref="P1003:T1003"/>
    <mergeCell ref="B1002:K1002"/>
    <mergeCell ref="B1003:K1003"/>
    <mergeCell ref="B1004:K1004"/>
    <mergeCell ref="N995:N996"/>
    <mergeCell ref="O995:O996"/>
    <mergeCell ref="P995:T995"/>
    <mergeCell ref="P996:T996"/>
    <mergeCell ref="N997:N998"/>
    <mergeCell ref="O997:O998"/>
    <mergeCell ref="P997:T997"/>
    <mergeCell ref="P998:T998"/>
    <mergeCell ref="D994:H994"/>
    <mergeCell ref="B995:B996"/>
    <mergeCell ref="C995:C996"/>
    <mergeCell ref="D995:H995"/>
    <mergeCell ref="I995:I996"/>
    <mergeCell ref="J995:J996"/>
    <mergeCell ref="B1289:K1289"/>
    <mergeCell ref="B1290:K1290"/>
    <mergeCell ref="B1291:K1291"/>
    <mergeCell ref="B1292:K1292"/>
    <mergeCell ref="F1254:H1254"/>
    <mergeCell ref="C1255:D1255"/>
    <mergeCell ref="E1255:E1256"/>
    <mergeCell ref="F1255:G1255"/>
    <mergeCell ref="H1255:H1256"/>
    <mergeCell ref="B1258:H1258"/>
    <mergeCell ref="B1288:K1288"/>
    <mergeCell ref="P1004:T1004"/>
    <mergeCell ref="P1005:T1005"/>
    <mergeCell ref="P1006:T1006"/>
    <mergeCell ref="B1016:J1016"/>
    <mergeCell ref="B1018:B1019"/>
    <mergeCell ref="C1018:C1019"/>
    <mergeCell ref="J1018:K1018"/>
    <mergeCell ref="D1019:I1019"/>
    <mergeCell ref="B1010:K1010"/>
    <mergeCell ref="B1011:K1011"/>
    <mergeCell ref="B1012:K1012"/>
    <mergeCell ref="B1013:K1013"/>
    <mergeCell ref="B1014:K1014"/>
    <mergeCell ref="B1253:H1253"/>
    <mergeCell ref="M1041:M1043"/>
    <mergeCell ref="B1042:K1042"/>
    <mergeCell ref="B1026:B1027"/>
    <mergeCell ref="B1043:K1043"/>
    <mergeCell ref="B1044:K1044"/>
    <mergeCell ref="B1028:B1029"/>
    <mergeCell ref="B1030:B1031"/>
    <mergeCell ref="B1316:K1316"/>
    <mergeCell ref="B1318:K1318"/>
    <mergeCell ref="B1320:K1320"/>
    <mergeCell ref="B1322:K1322"/>
    <mergeCell ref="B1323:K1323"/>
    <mergeCell ref="B1324:K1324"/>
    <mergeCell ref="B1325:K1325"/>
    <mergeCell ref="B1327:K1327"/>
    <mergeCell ref="B1328:K1328"/>
    <mergeCell ref="B1294:B1295"/>
    <mergeCell ref="C1294:C1295"/>
    <mergeCell ref="B1297:B1302"/>
    <mergeCell ref="C1297:C1302"/>
    <mergeCell ref="D1297:K1297"/>
    <mergeCell ref="D1299:K1299"/>
    <mergeCell ref="D1301:K1301"/>
    <mergeCell ref="B1303:B1308"/>
    <mergeCell ref="C1303:C1308"/>
    <mergeCell ref="D1303:K1303"/>
    <mergeCell ref="D1305:K1305"/>
    <mergeCell ref="D1307:K1307"/>
    <mergeCell ref="B1309:B1314"/>
    <mergeCell ref="C1309:C1314"/>
    <mergeCell ref="D1309:K1309"/>
    <mergeCell ref="D1311:K1311"/>
    <mergeCell ref="D1313:K1313"/>
    <mergeCell ref="B1367:I1367"/>
    <mergeCell ref="B1343:I1343"/>
    <mergeCell ref="B1388:K1388"/>
    <mergeCell ref="B1390:K1390"/>
    <mergeCell ref="B1391:K1391"/>
    <mergeCell ref="B1392:K1392"/>
    <mergeCell ref="B1347:I1347"/>
    <mergeCell ref="B1395:K1395"/>
    <mergeCell ref="F1405:F1412"/>
    <mergeCell ref="G1405:G1412"/>
    <mergeCell ref="H1405:H1412"/>
    <mergeCell ref="B1403:H1403"/>
    <mergeCell ref="D1399:D1400"/>
    <mergeCell ref="E1399:E1400"/>
    <mergeCell ref="F1399:F1400"/>
    <mergeCell ref="B1404:H1404"/>
    <mergeCell ref="B1329:K1329"/>
    <mergeCell ref="B1333:B1334"/>
    <mergeCell ref="C1333:C1334"/>
    <mergeCell ref="D1333:F1333"/>
    <mergeCell ref="B1331:F1331"/>
    <mergeCell ref="B1342:K1342"/>
    <mergeCell ref="B1393:K1393"/>
    <mergeCell ref="B1394:K1394"/>
    <mergeCell ref="F1459:F1466"/>
    <mergeCell ref="G1459:G1466"/>
    <mergeCell ref="H1459:H1466"/>
    <mergeCell ref="F1495:F1502"/>
    <mergeCell ref="G1495:G1502"/>
    <mergeCell ref="G1441:G1448"/>
    <mergeCell ref="H1441:H1448"/>
    <mergeCell ref="F1432:F1439"/>
    <mergeCell ref="G1432:G1439"/>
    <mergeCell ref="H1432:H1439"/>
    <mergeCell ref="F1423:F1430"/>
    <mergeCell ref="G1423:G1430"/>
    <mergeCell ref="H1423:H1430"/>
    <mergeCell ref="F1414:F1421"/>
    <mergeCell ref="G1414:G1421"/>
    <mergeCell ref="H1414:H1421"/>
    <mergeCell ref="B1396:K1396"/>
    <mergeCell ref="B1397:K1397"/>
    <mergeCell ref="B1413:H1413"/>
    <mergeCell ref="B1399:B1401"/>
    <mergeCell ref="C1399:C1401"/>
    <mergeCell ref="G1399:G1400"/>
    <mergeCell ref="H1399:H1400"/>
    <mergeCell ref="F1486:F1493"/>
    <mergeCell ref="G1486:G1493"/>
    <mergeCell ref="H1486:H1493"/>
    <mergeCell ref="B1494:H1494"/>
    <mergeCell ref="B1422:H1422"/>
    <mergeCell ref="B1431:H1431"/>
    <mergeCell ref="B1440:H1440"/>
    <mergeCell ref="B1449:H1449"/>
    <mergeCell ref="B1458:H1458"/>
    <mergeCell ref="B1503:H1503"/>
    <mergeCell ref="B1504:H1504"/>
    <mergeCell ref="H1495:H1502"/>
    <mergeCell ref="G1505:G1512"/>
    <mergeCell ref="H1505:H1512"/>
    <mergeCell ref="F1468:F1475"/>
    <mergeCell ref="G1468:G1475"/>
    <mergeCell ref="H1468:H1475"/>
    <mergeCell ref="D1612:D1613"/>
    <mergeCell ref="B1604:K1604"/>
    <mergeCell ref="B1605:K1605"/>
    <mergeCell ref="B1606:K1606"/>
    <mergeCell ref="F1559:F1566"/>
    <mergeCell ref="G1559:G1566"/>
    <mergeCell ref="H1559:H1566"/>
    <mergeCell ref="B1567:H1567"/>
    <mergeCell ref="F1568:F1575"/>
    <mergeCell ref="G1568:G1575"/>
    <mergeCell ref="H1568:H1575"/>
    <mergeCell ref="B1513:H1513"/>
    <mergeCell ref="B1531:H1531"/>
    <mergeCell ref="F1532:F1539"/>
    <mergeCell ref="G1532:G1539"/>
    <mergeCell ref="H1532:H1539"/>
    <mergeCell ref="B1540:H1540"/>
    <mergeCell ref="F1541:F1548"/>
    <mergeCell ref="G1541:G1548"/>
    <mergeCell ref="B1689:K1689"/>
    <mergeCell ref="F1595:F1602"/>
    <mergeCell ref="G1595:G1602"/>
    <mergeCell ref="H1595:H1602"/>
    <mergeCell ref="E1612:E1613"/>
    <mergeCell ref="B1615:I1615"/>
    <mergeCell ref="B1576:H1576"/>
    <mergeCell ref="F1577:F1584"/>
    <mergeCell ref="G1577:G1584"/>
    <mergeCell ref="H1577:H1584"/>
    <mergeCell ref="B1585:H1585"/>
    <mergeCell ref="F1586:F1593"/>
    <mergeCell ref="G1586:G1593"/>
    <mergeCell ref="H1586:H1593"/>
    <mergeCell ref="B1607:K1607"/>
    <mergeCell ref="B1637:K1637"/>
    <mergeCell ref="B1638:K1638"/>
    <mergeCell ref="B1639:K1639"/>
    <mergeCell ref="B1655:I1655"/>
    <mergeCell ref="B1664:G1664"/>
    <mergeCell ref="B1608:K1608"/>
    <mergeCell ref="B1609:K1609"/>
    <mergeCell ref="B1610:K1610"/>
    <mergeCell ref="B1640:K1640"/>
    <mergeCell ref="B1641:K1641"/>
    <mergeCell ref="B1594:H1594"/>
    <mergeCell ref="B1644:B1645"/>
    <mergeCell ref="C1644:C1645"/>
    <mergeCell ref="D1644:D1645"/>
    <mergeCell ref="B1647:I1647"/>
    <mergeCell ref="E1644:E1645"/>
    <mergeCell ref="F1644:F1645"/>
    <mergeCell ref="G1644:G1645"/>
    <mergeCell ref="H1644:H1645"/>
    <mergeCell ref="I1644:I1645"/>
    <mergeCell ref="B1467:H1467"/>
    <mergeCell ref="F1450:F1457"/>
    <mergeCell ref="G1450:G1457"/>
    <mergeCell ref="H1450:H1457"/>
    <mergeCell ref="F1441:F1448"/>
    <mergeCell ref="B1476:H1476"/>
    <mergeCell ref="B1642:K1642"/>
    <mergeCell ref="B1626:I1626"/>
    <mergeCell ref="F1514:F1521"/>
    <mergeCell ref="G1514:G1521"/>
    <mergeCell ref="H1514:H1521"/>
    <mergeCell ref="B1522:H1522"/>
    <mergeCell ref="F1523:F1530"/>
    <mergeCell ref="G1523:G1530"/>
    <mergeCell ref="H1523:H1530"/>
    <mergeCell ref="H1541:H1548"/>
    <mergeCell ref="B1549:H1549"/>
    <mergeCell ref="F1550:F1557"/>
    <mergeCell ref="B1612:B1613"/>
    <mergeCell ref="C1612:C1613"/>
    <mergeCell ref="F1612:F1613"/>
    <mergeCell ref="G1612:G1613"/>
    <mergeCell ref="H1612:H1613"/>
    <mergeCell ref="I1612:I1613"/>
    <mergeCell ref="G1550:G1557"/>
    <mergeCell ref="H1550:H1557"/>
    <mergeCell ref="B1558:H1558"/>
    <mergeCell ref="F1505:F1512"/>
    <mergeCell ref="F1477:F1484"/>
    <mergeCell ref="G1477:G1484"/>
    <mergeCell ref="H1477:H1484"/>
    <mergeCell ref="B1485:H1485"/>
  </mergeCells>
  <printOptions horizontalCentered="1"/>
  <pageMargins left="0.19685039370078741" right="0.19685039370078741" top="0.19685039370078741" bottom="0.19685039370078741" header="0" footer="0"/>
  <pageSetup paperSize="9" scale="4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92D050"/>
    <outlinePr summaryBelow="0" summaryRight="0"/>
    <pageSetUpPr fitToPage="1"/>
  </sheetPr>
  <dimension ref="A1:AA124"/>
  <sheetViews>
    <sheetView showGridLines="0" view="pageBreakPreview" topLeftCell="A67" zoomScale="70" zoomScaleNormal="40" zoomScaleSheetLayoutView="70" workbookViewId="0">
      <pane xSplit="5" topLeftCell="K1" activePane="topRight" state="frozen"/>
      <selection pane="topRight" activeCell="E36" sqref="E36"/>
    </sheetView>
  </sheetViews>
  <sheetFormatPr defaultColWidth="8.7109375" defaultRowHeight="12.75" outlineLevelRow="2" outlineLevelCol="1"/>
  <cols>
    <col min="1" max="1" width="3.28515625" style="233" bestFit="1" customWidth="1"/>
    <col min="2" max="2" width="2.140625" style="233" hidden="1" customWidth="1"/>
    <col min="3" max="3" width="6.140625" style="390" bestFit="1" customWidth="1"/>
    <col min="4" max="4" width="35.85546875" style="390" customWidth="1"/>
    <col min="5" max="5" width="30.7109375" style="233" customWidth="1"/>
    <col min="6" max="6" width="14.28515625" style="233" customWidth="1"/>
    <col min="7" max="10" width="14.28515625" style="233" hidden="1" customWidth="1"/>
    <col min="11" max="11" width="15.7109375" style="233" customWidth="1"/>
    <col min="12" max="12" width="23.28515625" style="233" customWidth="1"/>
    <col min="13" max="13" width="20.7109375" style="233" customWidth="1" outlineLevel="1"/>
    <col min="14" max="15" width="13.5703125" style="233" customWidth="1" outlineLevel="1"/>
    <col min="16" max="18" width="21.85546875" style="233" customWidth="1" outlineLevel="1"/>
    <col min="19" max="19" width="21.7109375" style="233" customWidth="1" outlineLevel="1"/>
    <col min="20" max="21" width="15.7109375" style="233" customWidth="1"/>
    <col min="22" max="22" width="21.5703125" style="391" customWidth="1"/>
    <col min="23" max="23" width="1.5703125" style="233" hidden="1" customWidth="1" collapsed="1"/>
    <col min="24" max="24" width="2.85546875" style="233" hidden="1" customWidth="1" outlineLevel="1"/>
    <col min="25" max="26" width="15.7109375" style="233" hidden="1" customWidth="1" outlineLevel="1"/>
    <col min="27" max="27" width="21.140625" style="391" hidden="1" customWidth="1" outlineLevel="1"/>
    <col min="28" max="16384" width="8.7109375" style="233"/>
  </cols>
  <sheetData>
    <row r="1" spans="2:27">
      <c r="C1" s="389" t="s">
        <v>210</v>
      </c>
      <c r="AA1" s="233"/>
    </row>
    <row r="2" spans="2:27" ht="20.25">
      <c r="C2" s="2307" t="s">
        <v>408</v>
      </c>
      <c r="D2" s="2307"/>
      <c r="E2" s="2307"/>
      <c r="F2" s="2307"/>
      <c r="G2" s="2307"/>
      <c r="H2" s="2307"/>
      <c r="I2" s="2307"/>
      <c r="J2" s="2307"/>
      <c r="K2" s="2307"/>
      <c r="L2" s="2307"/>
      <c r="M2" s="2307"/>
      <c r="N2" s="2307"/>
      <c r="O2" s="2307"/>
      <c r="P2" s="2307"/>
      <c r="Q2" s="2307"/>
      <c r="R2" s="2307"/>
      <c r="S2" s="2307"/>
      <c r="T2" s="2307"/>
      <c r="U2" s="392"/>
      <c r="V2" s="392"/>
      <c r="Y2" s="392"/>
      <c r="Z2" s="392"/>
      <c r="AA2" s="392"/>
    </row>
    <row r="3" spans="2:27" ht="18.75">
      <c r="C3" s="393"/>
      <c r="D3" s="393"/>
      <c r="E3" s="394"/>
      <c r="F3" s="394"/>
      <c r="G3" s="1997"/>
      <c r="H3" s="1997"/>
      <c r="I3" s="1997"/>
      <c r="J3" s="1997"/>
      <c r="K3" s="394"/>
      <c r="L3" s="394"/>
      <c r="M3" s="394"/>
      <c r="N3" s="394"/>
      <c r="O3" s="394"/>
      <c r="P3" s="394"/>
      <c r="Q3" s="394"/>
      <c r="R3" s="394"/>
      <c r="S3" s="394"/>
      <c r="T3" s="394"/>
      <c r="U3" s="394"/>
      <c r="V3" s="394"/>
      <c r="Y3" s="394"/>
      <c r="Z3" s="394"/>
      <c r="AA3" s="394"/>
    </row>
    <row r="4" spans="2:27">
      <c r="C4" s="395"/>
      <c r="D4" s="395"/>
      <c r="E4" s="396"/>
      <c r="F4" s="396"/>
      <c r="G4" s="396"/>
      <c r="H4" s="396"/>
      <c r="I4" s="396"/>
      <c r="J4" s="396"/>
      <c r="K4" s="396"/>
      <c r="L4" s="396"/>
      <c r="M4" s="396"/>
      <c r="N4" s="396"/>
      <c r="O4" s="396"/>
      <c r="P4" s="396"/>
      <c r="Q4" s="396"/>
      <c r="R4" s="396"/>
      <c r="S4" s="396"/>
    </row>
    <row r="5" spans="2:27" ht="12.75" customHeight="1">
      <c r="C5" s="2308" t="s">
        <v>12</v>
      </c>
      <c r="D5" s="2301" t="s">
        <v>409</v>
      </c>
      <c r="E5" s="2303" t="s">
        <v>410</v>
      </c>
      <c r="F5" s="2303" t="s">
        <v>411</v>
      </c>
      <c r="G5" s="2319" t="s">
        <v>2240</v>
      </c>
      <c r="H5" s="2320"/>
      <c r="I5" s="2320"/>
      <c r="J5" s="2321"/>
      <c r="K5" s="2301" t="str">
        <f>"ТБР, "&amp;'0. Анкета'!C15-2&amp;" год"</f>
        <v>ТБР, 2022 год</v>
      </c>
      <c r="L5" s="2301" t="str">
        <f>"Факт, "&amp;'0. Анкета'!C15-2&amp;" год (отражен в отчете об исполнении сметы расходов)"</f>
        <v>Факт, 2022 год (отражен в отчете об исполнении сметы расходов)</v>
      </c>
      <c r="M5" s="2301" t="str">
        <f>"Факт, "&amp;'0. Анкета'!C15-2&amp;" год (подтвержденный первичными документами (договоры/акты и пр.))"</f>
        <v>Факт, 2022 год (подтвержденный первичными документами (договоры/акты и пр.))</v>
      </c>
      <c r="N5" s="2312" t="str">
        <f>"Факт, "&amp;'0. Анкета'!C15-2&amp;" год (подтвержденный  бухгалтерскими документами (оборотно-сальдовые ведомости, карточки счетов))"</f>
        <v>Факт, 2022 год (подтвержденный  бухгалтерскими документами (оборотно-сальдовые ведомости, карточки счетов))</v>
      </c>
      <c r="O5" s="2313"/>
      <c r="P5" s="2313"/>
      <c r="Q5" s="2313"/>
      <c r="R5" s="2313"/>
      <c r="S5" s="2314"/>
      <c r="T5" s="2301" t="str">
        <f>"ТБР, "&amp;'0. Анкета'!C15-1&amp;" год"</f>
        <v>ТБР, 2023 год</v>
      </c>
      <c r="U5" s="2317" t="str">
        <f>'0. Анкета'!C15&amp;",  предложение ТСО"</f>
        <v>2024,  предложение ТСО</v>
      </c>
      <c r="V5" s="2303" t="s">
        <v>412</v>
      </c>
      <c r="Y5" s="2301" t="str">
        <f>'0. Анкета'!C15-2&amp;",  факт регулятора"</f>
        <v>2022,  факт регулятора</v>
      </c>
      <c r="Z5" s="2301" t="str">
        <f>'0. Анкета'!C15&amp;",  Версия регулятора"</f>
        <v>2024,  Версия регулятора</v>
      </c>
      <c r="AA5" s="2303" t="s">
        <v>2220</v>
      </c>
    </row>
    <row r="6" spans="2:27" ht="71.45" customHeight="1">
      <c r="C6" s="2309"/>
      <c r="D6" s="2311"/>
      <c r="E6" s="2304"/>
      <c r="F6" s="2304"/>
      <c r="G6" s="1996" t="s">
        <v>1746</v>
      </c>
      <c r="H6" s="1996" t="s">
        <v>1747</v>
      </c>
      <c r="I6" s="1996" t="s">
        <v>1748</v>
      </c>
      <c r="J6" s="1996" t="s">
        <v>1749</v>
      </c>
      <c r="K6" s="2302"/>
      <c r="L6" s="2302"/>
      <c r="M6" s="2302"/>
      <c r="N6" s="397" t="s">
        <v>172</v>
      </c>
      <c r="O6" s="397" t="s">
        <v>413</v>
      </c>
      <c r="P6" s="397" t="s">
        <v>414</v>
      </c>
      <c r="Q6" s="397" t="s">
        <v>415</v>
      </c>
      <c r="R6" s="397" t="s">
        <v>416</v>
      </c>
      <c r="S6" s="397" t="s">
        <v>415</v>
      </c>
      <c r="T6" s="2302"/>
      <c r="U6" s="2318"/>
      <c r="V6" s="2304"/>
      <c r="Y6" s="2302"/>
      <c r="Z6" s="2302"/>
      <c r="AA6" s="2304"/>
    </row>
    <row r="7" spans="2:27">
      <c r="C7" s="2310"/>
      <c r="D7" s="2302"/>
      <c r="E7" s="2305"/>
      <c r="F7" s="2305"/>
      <c r="G7" s="1996" t="s">
        <v>226</v>
      </c>
      <c r="H7" s="1996" t="s">
        <v>226</v>
      </c>
      <c r="I7" s="1996" t="s">
        <v>226</v>
      </c>
      <c r="J7" s="1996" t="s">
        <v>226</v>
      </c>
      <c r="K7" s="398" t="s">
        <v>226</v>
      </c>
      <c r="L7" s="398" t="s">
        <v>226</v>
      </c>
      <c r="M7" s="398" t="s">
        <v>226</v>
      </c>
      <c r="N7" s="398" t="s">
        <v>226</v>
      </c>
      <c r="O7" s="398" t="s">
        <v>226</v>
      </c>
      <c r="P7" s="398" t="s">
        <v>226</v>
      </c>
      <c r="Q7" s="398" t="s">
        <v>268</v>
      </c>
      <c r="R7" s="398" t="s">
        <v>226</v>
      </c>
      <c r="S7" s="398" t="s">
        <v>268</v>
      </c>
      <c r="T7" s="398" t="s">
        <v>226</v>
      </c>
      <c r="U7" s="398" t="s">
        <v>226</v>
      </c>
      <c r="V7" s="2305"/>
      <c r="Y7" s="398" t="s">
        <v>226</v>
      </c>
      <c r="Z7" s="398" t="s">
        <v>226</v>
      </c>
      <c r="AA7" s="2305"/>
    </row>
    <row r="8" spans="2:27">
      <c r="C8" s="399">
        <v>1</v>
      </c>
      <c r="D8" s="399">
        <f>C8+1</f>
        <v>2</v>
      </c>
      <c r="E8" s="400">
        <f t="shared" ref="E8:V8" si="0">D8+1</f>
        <v>3</v>
      </c>
      <c r="F8" s="400">
        <f t="shared" si="0"/>
        <v>4</v>
      </c>
      <c r="G8" s="400"/>
      <c r="H8" s="400"/>
      <c r="I8" s="400"/>
      <c r="J8" s="400"/>
      <c r="K8" s="400">
        <f>F8+1</f>
        <v>5</v>
      </c>
      <c r="L8" s="400">
        <f t="shared" si="0"/>
        <v>6</v>
      </c>
      <c r="M8" s="400">
        <f t="shared" si="0"/>
        <v>7</v>
      </c>
      <c r="N8" s="400">
        <f t="shared" si="0"/>
        <v>8</v>
      </c>
      <c r="O8" s="400">
        <f t="shared" si="0"/>
        <v>9</v>
      </c>
      <c r="P8" s="400">
        <f t="shared" si="0"/>
        <v>10</v>
      </c>
      <c r="Q8" s="400">
        <v>11</v>
      </c>
      <c r="R8" s="400">
        <v>12</v>
      </c>
      <c r="S8" s="400">
        <v>13</v>
      </c>
      <c r="T8" s="400">
        <f t="shared" si="0"/>
        <v>14</v>
      </c>
      <c r="U8" s="401">
        <f t="shared" si="0"/>
        <v>15</v>
      </c>
      <c r="V8" s="400">
        <f t="shared" si="0"/>
        <v>16</v>
      </c>
      <c r="Y8" s="399">
        <v>17</v>
      </c>
      <c r="Z8" s="401" t="s">
        <v>418</v>
      </c>
      <c r="AA8" s="400">
        <v>19</v>
      </c>
    </row>
    <row r="9" spans="2:27" ht="51">
      <c r="C9" s="402" t="s">
        <v>234</v>
      </c>
      <c r="D9" s="402" t="s">
        <v>419</v>
      </c>
      <c r="E9" s="403"/>
      <c r="F9" s="403"/>
      <c r="G9" s="404">
        <f t="shared" ref="G9:J9" si="1">SUBTOTAL(9,G10:G44)</f>
        <v>0</v>
      </c>
      <c r="H9" s="404">
        <f t="shared" si="1"/>
        <v>0</v>
      </c>
      <c r="I9" s="404">
        <f t="shared" si="1"/>
        <v>0</v>
      </c>
      <c r="J9" s="404">
        <f t="shared" si="1"/>
        <v>0</v>
      </c>
      <c r="K9" s="404">
        <f>SUM(K10,K25,K35)</f>
        <v>0</v>
      </c>
      <c r="L9" s="404">
        <f>SUBTOTAL(9,L10:L44)</f>
        <v>0</v>
      </c>
      <c r="M9" s="404">
        <f>SUBTOTAL(9,M10:M44)</f>
        <v>0</v>
      </c>
      <c r="N9" s="404">
        <f>SUM(N10,N25,N35)</f>
        <v>0</v>
      </c>
      <c r="O9" s="404">
        <f>SUM(O10,O25,O35)</f>
        <v>0</v>
      </c>
      <c r="P9" s="404">
        <f>SUM(P10,P25,P35)</f>
        <v>0</v>
      </c>
      <c r="Q9" s="405"/>
      <c r="R9" s="404">
        <f>SUM(R10,R25,R35)</f>
        <v>0</v>
      </c>
      <c r="S9" s="405"/>
      <c r="T9" s="404">
        <f>SUM(T10,T25,T35)</f>
        <v>0</v>
      </c>
      <c r="U9" s="404">
        <f>SUBTOTAL(9,U10:U44)</f>
        <v>0</v>
      </c>
      <c r="V9" s="406"/>
      <c r="Y9" s="404">
        <f>SUBTOTAL(9,Y10:Y44)</f>
        <v>0</v>
      </c>
      <c r="Z9" s="404">
        <f>SUBTOTAL(9,Z10:Z44)</f>
        <v>0</v>
      </c>
      <c r="AA9" s="406"/>
    </row>
    <row r="10" spans="2:27" ht="38.25" outlineLevel="1">
      <c r="C10" s="407" t="s">
        <v>267</v>
      </c>
      <c r="D10" s="408" t="s">
        <v>420</v>
      </c>
      <c r="E10" s="409"/>
      <c r="F10" s="409"/>
      <c r="G10" s="411">
        <f t="shared" ref="G10:J10" si="2">SUBTOTAL(9,G11:G24)</f>
        <v>0</v>
      </c>
      <c r="H10" s="411">
        <f t="shared" si="2"/>
        <v>0</v>
      </c>
      <c r="I10" s="411">
        <f t="shared" si="2"/>
        <v>0</v>
      </c>
      <c r="J10" s="411">
        <f t="shared" si="2"/>
        <v>0</v>
      </c>
      <c r="K10" s="410"/>
      <c r="L10" s="411">
        <f>SUBTOTAL(9,L11:L24)</f>
        <v>0</v>
      </c>
      <c r="M10" s="411">
        <f>SUBTOTAL(9,M11:M24)</f>
        <v>0</v>
      </c>
      <c r="N10" s="411">
        <f>SUM(O10:P10)+R10</f>
        <v>0</v>
      </c>
      <c r="O10" s="410"/>
      <c r="P10" s="410"/>
      <c r="Q10" s="412"/>
      <c r="R10" s="410"/>
      <c r="S10" s="412"/>
      <c r="T10" s="410"/>
      <c r="U10" s="411">
        <f>SUBTOTAL(9,U11:U24)</f>
        <v>0</v>
      </c>
      <c r="V10" s="413"/>
      <c r="Y10" s="411">
        <f>SUBTOTAL(9,Y11:Y24)</f>
        <v>0</v>
      </c>
      <c r="Z10" s="411">
        <f>SUBTOTAL(9,Z11:Z24)</f>
        <v>0</v>
      </c>
      <c r="AA10" s="413"/>
    </row>
    <row r="11" spans="2:27" outlineLevel="2">
      <c r="B11" s="233">
        <v>1</v>
      </c>
      <c r="C11" s="407" t="str">
        <f>CONCATENATE(C$10,B11)</f>
        <v>1.1.1</v>
      </c>
      <c r="D11" s="414" t="s">
        <v>421</v>
      </c>
      <c r="E11" s="415"/>
      <c r="F11" s="415"/>
      <c r="G11" s="411">
        <f t="shared" ref="G11:J11" si="3">SUBTOTAL(9,G12:G19)</f>
        <v>0</v>
      </c>
      <c r="H11" s="411">
        <f t="shared" si="3"/>
        <v>0</v>
      </c>
      <c r="I11" s="411">
        <f t="shared" si="3"/>
        <v>0</v>
      </c>
      <c r="J11" s="411">
        <f t="shared" si="3"/>
        <v>0</v>
      </c>
      <c r="K11" s="416"/>
      <c r="L11" s="411">
        <f>SUBTOTAL(9,L12:L19)</f>
        <v>0</v>
      </c>
      <c r="M11" s="411">
        <f>SUBTOTAL(9,M12:M19)</f>
        <v>0</v>
      </c>
      <c r="N11" s="416"/>
      <c r="O11" s="416"/>
      <c r="P11" s="416"/>
      <c r="Q11" s="417"/>
      <c r="R11" s="416"/>
      <c r="S11" s="417"/>
      <c r="T11" s="416"/>
      <c r="U11" s="411">
        <f>SUBTOTAL(9,U12:U19)</f>
        <v>0</v>
      </c>
      <c r="V11" s="413"/>
      <c r="W11" s="233" t="s">
        <v>422</v>
      </c>
      <c r="Y11" s="411">
        <f>SUBTOTAL(9,Y12:Y19)</f>
        <v>0</v>
      </c>
      <c r="Z11" s="411">
        <f>SUBTOTAL(9,Z12:Z19)</f>
        <v>0</v>
      </c>
      <c r="AA11" s="413"/>
    </row>
    <row r="12" spans="2:27" outlineLevel="2">
      <c r="C12" s="407"/>
      <c r="D12" s="414"/>
      <c r="E12" s="415" t="s">
        <v>423</v>
      </c>
      <c r="F12" s="415"/>
      <c r="G12" s="410"/>
      <c r="H12" s="410"/>
      <c r="I12" s="410"/>
      <c r="J12" s="410"/>
      <c r="K12" s="416"/>
      <c r="L12" s="410"/>
      <c r="M12" s="410"/>
      <c r="N12" s="416"/>
      <c r="O12" s="416"/>
      <c r="P12" s="416"/>
      <c r="Q12" s="417"/>
      <c r="R12" s="416"/>
      <c r="S12" s="417"/>
      <c r="T12" s="416"/>
      <c r="U12" s="410"/>
      <c r="V12" s="413"/>
      <c r="Y12" s="410"/>
      <c r="Z12" s="410"/>
      <c r="AA12" s="413"/>
    </row>
    <row r="13" spans="2:27" outlineLevel="2">
      <c r="C13" s="407"/>
      <c r="D13" s="418"/>
      <c r="E13" s="415" t="s">
        <v>424</v>
      </c>
      <c r="F13" s="415"/>
      <c r="G13" s="410"/>
      <c r="H13" s="410"/>
      <c r="I13" s="410"/>
      <c r="J13" s="410"/>
      <c r="K13" s="416"/>
      <c r="L13" s="410"/>
      <c r="M13" s="410"/>
      <c r="N13" s="416"/>
      <c r="O13" s="416"/>
      <c r="P13" s="416"/>
      <c r="Q13" s="417"/>
      <c r="R13" s="416"/>
      <c r="S13" s="417"/>
      <c r="T13" s="416"/>
      <c r="U13" s="410"/>
      <c r="V13" s="413"/>
      <c r="Y13" s="410"/>
      <c r="Z13" s="410"/>
      <c r="AA13" s="413"/>
    </row>
    <row r="14" spans="2:27" outlineLevel="2">
      <c r="C14" s="407"/>
      <c r="D14" s="418"/>
      <c r="E14" s="419" t="s">
        <v>425</v>
      </c>
      <c r="F14" s="415"/>
      <c r="G14" s="410"/>
      <c r="H14" s="410"/>
      <c r="I14" s="410"/>
      <c r="J14" s="410"/>
      <c r="K14" s="416"/>
      <c r="L14" s="410"/>
      <c r="M14" s="410"/>
      <c r="N14" s="416"/>
      <c r="O14" s="416"/>
      <c r="P14" s="416"/>
      <c r="Q14" s="417"/>
      <c r="R14" s="416"/>
      <c r="S14" s="417"/>
      <c r="T14" s="416"/>
      <c r="U14" s="410"/>
      <c r="V14" s="413"/>
      <c r="Y14" s="410"/>
      <c r="Z14" s="410"/>
      <c r="AA14" s="413"/>
    </row>
    <row r="15" spans="2:27" outlineLevel="2">
      <c r="C15" s="407"/>
      <c r="D15" s="418"/>
      <c r="E15" s="419" t="s">
        <v>426</v>
      </c>
      <c r="F15" s="415"/>
      <c r="G15" s="410"/>
      <c r="H15" s="410"/>
      <c r="I15" s="410"/>
      <c r="J15" s="410"/>
      <c r="K15" s="416"/>
      <c r="L15" s="410"/>
      <c r="M15" s="410"/>
      <c r="N15" s="416"/>
      <c r="O15" s="416"/>
      <c r="P15" s="416"/>
      <c r="Q15" s="417"/>
      <c r="R15" s="416"/>
      <c r="S15" s="417"/>
      <c r="T15" s="416"/>
      <c r="U15" s="410"/>
      <c r="V15" s="413"/>
      <c r="Y15" s="410"/>
      <c r="Z15" s="410"/>
      <c r="AA15" s="413"/>
    </row>
    <row r="16" spans="2:27" outlineLevel="2">
      <c r="C16" s="407"/>
      <c r="D16" s="418"/>
      <c r="E16" s="415" t="s">
        <v>427</v>
      </c>
      <c r="F16" s="415"/>
      <c r="G16" s="410"/>
      <c r="H16" s="410"/>
      <c r="I16" s="410"/>
      <c r="J16" s="410"/>
      <c r="K16" s="416"/>
      <c r="L16" s="410"/>
      <c r="M16" s="410"/>
      <c r="N16" s="416"/>
      <c r="O16" s="416"/>
      <c r="P16" s="416"/>
      <c r="Q16" s="417"/>
      <c r="R16" s="416"/>
      <c r="S16" s="417"/>
      <c r="T16" s="416"/>
      <c r="U16" s="410"/>
      <c r="V16" s="413"/>
      <c r="Y16" s="410"/>
      <c r="Z16" s="410"/>
      <c r="AA16" s="413"/>
    </row>
    <row r="17" spans="1:27" outlineLevel="2">
      <c r="C17" s="407"/>
      <c r="D17" s="418"/>
      <c r="E17" s="415" t="s">
        <v>428</v>
      </c>
      <c r="F17" s="415"/>
      <c r="G17" s="410"/>
      <c r="H17" s="410"/>
      <c r="I17" s="410"/>
      <c r="J17" s="410"/>
      <c r="K17" s="416"/>
      <c r="L17" s="410"/>
      <c r="M17" s="410"/>
      <c r="N17" s="416"/>
      <c r="O17" s="416"/>
      <c r="P17" s="416"/>
      <c r="Q17" s="417"/>
      <c r="R17" s="416"/>
      <c r="S17" s="417"/>
      <c r="T17" s="416"/>
      <c r="U17" s="410"/>
      <c r="V17" s="413"/>
      <c r="Y17" s="410"/>
      <c r="Z17" s="410"/>
      <c r="AA17" s="413"/>
    </row>
    <row r="18" spans="1:27" outlineLevel="2">
      <c r="C18" s="407"/>
      <c r="D18" s="418"/>
      <c r="E18" s="415" t="s">
        <v>429</v>
      </c>
      <c r="F18" s="415"/>
      <c r="G18" s="410"/>
      <c r="H18" s="410"/>
      <c r="I18" s="410"/>
      <c r="J18" s="410"/>
      <c r="K18" s="416"/>
      <c r="L18" s="410"/>
      <c r="M18" s="410"/>
      <c r="N18" s="416"/>
      <c r="O18" s="416"/>
      <c r="P18" s="416"/>
      <c r="Q18" s="417"/>
      <c r="R18" s="416"/>
      <c r="S18" s="417"/>
      <c r="T18" s="416"/>
      <c r="U18" s="410"/>
      <c r="V18" s="413"/>
      <c r="Y18" s="410"/>
      <c r="Z18" s="410"/>
      <c r="AA18" s="413"/>
    </row>
    <row r="19" spans="1:27" ht="14.25" outlineLevel="2">
      <c r="C19" s="420"/>
      <c r="D19" s="421"/>
      <c r="E19" s="422" t="s">
        <v>430</v>
      </c>
      <c r="F19" s="423"/>
      <c r="G19" s="423"/>
      <c r="H19" s="423"/>
      <c r="I19" s="423"/>
      <c r="J19" s="423"/>
      <c r="K19" s="423"/>
      <c r="L19" s="423"/>
      <c r="M19" s="423"/>
      <c r="N19" s="423"/>
      <c r="O19" s="423"/>
      <c r="P19" s="423"/>
      <c r="Q19" s="424"/>
      <c r="R19" s="423"/>
      <c r="S19" s="424"/>
      <c r="T19" s="423"/>
      <c r="U19" s="423"/>
      <c r="V19" s="420"/>
      <c r="Y19" s="423"/>
      <c r="Z19" s="423"/>
      <c r="AA19" s="420"/>
    </row>
    <row r="20" spans="1:27" outlineLevel="2">
      <c r="B20" s="233">
        <f>B11+1</f>
        <v>2</v>
      </c>
      <c r="C20" s="407" t="str">
        <f>CONCATENATE(C$10,B20)</f>
        <v>1.1.2</v>
      </c>
      <c r="D20" s="414" t="s">
        <v>431</v>
      </c>
      <c r="E20" s="415"/>
      <c r="F20" s="415"/>
      <c r="G20" s="411">
        <f t="shared" ref="G20:J20" si="4">SUBTOTAL(9,G21:G23)</f>
        <v>0</v>
      </c>
      <c r="H20" s="411">
        <f t="shared" si="4"/>
        <v>0</v>
      </c>
      <c r="I20" s="411">
        <f t="shared" si="4"/>
        <v>0</v>
      </c>
      <c r="J20" s="411">
        <f t="shared" si="4"/>
        <v>0</v>
      </c>
      <c r="K20" s="416"/>
      <c r="L20" s="411">
        <f>SUBTOTAL(9,L21:L23)</f>
        <v>0</v>
      </c>
      <c r="M20" s="411">
        <f>SUBTOTAL(9,M21:M23)</f>
        <v>0</v>
      </c>
      <c r="N20" s="416"/>
      <c r="O20" s="416"/>
      <c r="P20" s="416"/>
      <c r="Q20" s="417"/>
      <c r="R20" s="416"/>
      <c r="S20" s="417"/>
      <c r="T20" s="416"/>
      <c r="U20" s="411">
        <f>SUBTOTAL(9,U21:U23)</f>
        <v>0</v>
      </c>
      <c r="V20" s="413"/>
      <c r="W20" s="233" t="s">
        <v>422</v>
      </c>
      <c r="Y20" s="411">
        <f>SUBTOTAL(9,Y21:Y23)</f>
        <v>0</v>
      </c>
      <c r="Z20" s="411">
        <f>SUBTOTAL(9,Z21:Z23)</f>
        <v>0</v>
      </c>
      <c r="AA20" s="413"/>
    </row>
    <row r="21" spans="1:27" outlineLevel="2">
      <c r="C21" s="407"/>
      <c r="D21" s="414"/>
      <c r="E21" s="415" t="s">
        <v>432</v>
      </c>
      <c r="F21" s="415"/>
      <c r="G21" s="410"/>
      <c r="H21" s="410"/>
      <c r="I21" s="410"/>
      <c r="J21" s="410"/>
      <c r="K21" s="416"/>
      <c r="L21" s="410"/>
      <c r="M21" s="410"/>
      <c r="N21" s="416"/>
      <c r="O21" s="416"/>
      <c r="P21" s="416"/>
      <c r="Q21" s="417"/>
      <c r="R21" s="416"/>
      <c r="S21" s="417"/>
      <c r="T21" s="416"/>
      <c r="U21" s="410"/>
      <c r="V21" s="413"/>
      <c r="Y21" s="410"/>
      <c r="Z21" s="410"/>
      <c r="AA21" s="413"/>
    </row>
    <row r="22" spans="1:27" outlineLevel="2">
      <c r="C22" s="407"/>
      <c r="D22" s="418"/>
      <c r="E22" s="415" t="s">
        <v>433</v>
      </c>
      <c r="F22" s="415"/>
      <c r="G22" s="410"/>
      <c r="H22" s="410"/>
      <c r="I22" s="410"/>
      <c r="J22" s="410"/>
      <c r="K22" s="416"/>
      <c r="L22" s="410"/>
      <c r="M22" s="410"/>
      <c r="N22" s="416"/>
      <c r="O22" s="416"/>
      <c r="P22" s="416"/>
      <c r="Q22" s="417"/>
      <c r="R22" s="416"/>
      <c r="S22" s="417"/>
      <c r="T22" s="416"/>
      <c r="U22" s="410"/>
      <c r="V22" s="413"/>
      <c r="Y22" s="410"/>
      <c r="Z22" s="410"/>
      <c r="AA22" s="413"/>
    </row>
    <row r="23" spans="1:27" ht="14.25" outlineLevel="2">
      <c r="C23" s="420"/>
      <c r="D23" s="421"/>
      <c r="E23" s="422" t="s">
        <v>430</v>
      </c>
      <c r="F23" s="423"/>
      <c r="G23" s="423"/>
      <c r="H23" s="423"/>
      <c r="I23" s="423"/>
      <c r="J23" s="423"/>
      <c r="K23" s="423"/>
      <c r="L23" s="423"/>
      <c r="M23" s="423"/>
      <c r="N23" s="423"/>
      <c r="O23" s="423"/>
      <c r="P23" s="423"/>
      <c r="Q23" s="424"/>
      <c r="R23" s="423"/>
      <c r="S23" s="424"/>
      <c r="T23" s="423"/>
      <c r="U23" s="423"/>
      <c r="V23" s="420"/>
      <c r="Y23" s="423"/>
      <c r="Z23" s="423"/>
      <c r="AA23" s="420"/>
    </row>
    <row r="24" spans="1:27" ht="14.25" outlineLevel="2">
      <c r="A24" s="425"/>
      <c r="C24" s="407"/>
      <c r="D24" s="426" t="s">
        <v>434</v>
      </c>
      <c r="E24" s="427"/>
      <c r="F24" s="427"/>
      <c r="G24" s="427"/>
      <c r="H24" s="427"/>
      <c r="I24" s="427"/>
      <c r="J24" s="427"/>
      <c r="K24" s="427"/>
      <c r="L24" s="427"/>
      <c r="M24" s="427"/>
      <c r="N24" s="427"/>
      <c r="O24" s="427"/>
      <c r="P24" s="427"/>
      <c r="Q24" s="428"/>
      <c r="R24" s="427"/>
      <c r="S24" s="428"/>
      <c r="T24" s="427"/>
      <c r="U24" s="427"/>
      <c r="V24" s="420"/>
      <c r="Y24" s="427"/>
      <c r="Z24" s="427"/>
      <c r="AA24" s="420"/>
    </row>
    <row r="25" spans="1:27" outlineLevel="1">
      <c r="C25" s="407" t="s">
        <v>269</v>
      </c>
      <c r="D25" s="429" t="s">
        <v>435</v>
      </c>
      <c r="E25" s="409"/>
      <c r="F25" s="409"/>
      <c r="G25" s="411">
        <f t="shared" ref="G25:J25" si="5">SUBTOTAL(9,G26:G34)</f>
        <v>0</v>
      </c>
      <c r="H25" s="411">
        <f t="shared" si="5"/>
        <v>0</v>
      </c>
      <c r="I25" s="411">
        <f t="shared" si="5"/>
        <v>0</v>
      </c>
      <c r="J25" s="411">
        <f t="shared" si="5"/>
        <v>0</v>
      </c>
      <c r="K25" s="410"/>
      <c r="L25" s="411">
        <f>SUBTOTAL(9,L26:L34)</f>
        <v>0</v>
      </c>
      <c r="M25" s="411">
        <f>SUBTOTAL(9,M26:M34)</f>
        <v>0</v>
      </c>
      <c r="N25" s="411">
        <f>SUM(O25:P25)+R25</f>
        <v>0</v>
      </c>
      <c r="O25" s="410"/>
      <c r="P25" s="410"/>
      <c r="Q25" s="412"/>
      <c r="R25" s="410"/>
      <c r="S25" s="412"/>
      <c r="T25" s="410"/>
      <c r="U25" s="411">
        <f>SUBTOTAL(9,U26:U34)</f>
        <v>0</v>
      </c>
      <c r="V25" s="413"/>
      <c r="Y25" s="411">
        <f>SUBTOTAL(9,Y26:Y34)</f>
        <v>0</v>
      </c>
      <c r="Z25" s="411">
        <f>SUBTOTAL(9,Z26:Z34)</f>
        <v>0</v>
      </c>
      <c r="AA25" s="413"/>
    </row>
    <row r="26" spans="1:27" outlineLevel="2">
      <c r="B26" s="233">
        <v>1</v>
      </c>
      <c r="C26" s="407" t="str">
        <f>CONCATENATE(C$25,B26)</f>
        <v>1.2.1</v>
      </c>
      <c r="D26" s="430" t="s">
        <v>436</v>
      </c>
      <c r="E26" s="410"/>
      <c r="F26" s="410"/>
      <c r="G26" s="411">
        <f t="shared" ref="G26:J26" si="6">SUBTOTAL(9,G27:G29)</f>
        <v>0</v>
      </c>
      <c r="H26" s="411">
        <f t="shared" si="6"/>
        <v>0</v>
      </c>
      <c r="I26" s="411">
        <f t="shared" si="6"/>
        <v>0</v>
      </c>
      <c r="J26" s="411">
        <f t="shared" si="6"/>
        <v>0</v>
      </c>
      <c r="K26" s="416"/>
      <c r="L26" s="411">
        <f>SUBTOTAL(9,L27:L29)</f>
        <v>0</v>
      </c>
      <c r="M26" s="411">
        <f>SUBTOTAL(9,M27:M29)</f>
        <v>0</v>
      </c>
      <c r="N26" s="416"/>
      <c r="O26" s="416"/>
      <c r="P26" s="416"/>
      <c r="Q26" s="417"/>
      <c r="R26" s="416"/>
      <c r="S26" s="417"/>
      <c r="T26" s="416"/>
      <c r="U26" s="411">
        <f>SUBTOTAL(9,U27:U29)</f>
        <v>0</v>
      </c>
      <c r="V26" s="413"/>
      <c r="W26" s="233" t="s">
        <v>422</v>
      </c>
      <c r="Y26" s="411">
        <f>SUBTOTAL(9,Y27:Y29)</f>
        <v>0</v>
      </c>
      <c r="Z26" s="411">
        <f>SUBTOTAL(9,Z27:Z29)</f>
        <v>0</v>
      </c>
      <c r="AA26" s="413"/>
    </row>
    <row r="27" spans="1:27" outlineLevel="2">
      <c r="C27" s="407"/>
      <c r="D27" s="410"/>
      <c r="E27" s="430" t="s">
        <v>437</v>
      </c>
      <c r="F27" s="410"/>
      <c r="G27" s="410"/>
      <c r="H27" s="410"/>
      <c r="I27" s="410"/>
      <c r="J27" s="410"/>
      <c r="K27" s="416"/>
      <c r="L27" s="410"/>
      <c r="M27" s="410"/>
      <c r="N27" s="416"/>
      <c r="O27" s="416"/>
      <c r="P27" s="416"/>
      <c r="Q27" s="417"/>
      <c r="R27" s="416"/>
      <c r="S27" s="417"/>
      <c r="T27" s="416"/>
      <c r="U27" s="410"/>
      <c r="V27" s="413"/>
      <c r="Y27" s="410"/>
      <c r="Z27" s="410"/>
      <c r="AA27" s="413"/>
    </row>
    <row r="28" spans="1:27" outlineLevel="2">
      <c r="C28" s="407"/>
      <c r="D28" s="410"/>
      <c r="E28" s="430" t="s">
        <v>438</v>
      </c>
      <c r="F28" s="410"/>
      <c r="G28" s="410"/>
      <c r="H28" s="410"/>
      <c r="I28" s="410"/>
      <c r="J28" s="410"/>
      <c r="K28" s="416"/>
      <c r="L28" s="410"/>
      <c r="M28" s="410"/>
      <c r="N28" s="416"/>
      <c r="O28" s="416"/>
      <c r="P28" s="416"/>
      <c r="Q28" s="417"/>
      <c r="R28" s="416"/>
      <c r="S28" s="417"/>
      <c r="T28" s="416"/>
      <c r="U28" s="410"/>
      <c r="V28" s="413"/>
      <c r="Y28" s="410"/>
      <c r="Z28" s="410"/>
      <c r="AA28" s="413"/>
    </row>
    <row r="29" spans="1:27" ht="14.25" outlineLevel="2">
      <c r="C29" s="420"/>
      <c r="D29" s="421"/>
      <c r="E29" s="422" t="s">
        <v>430</v>
      </c>
      <c r="F29" s="423"/>
      <c r="G29" s="423"/>
      <c r="H29" s="423"/>
      <c r="I29" s="423"/>
      <c r="J29" s="423"/>
      <c r="K29" s="423"/>
      <c r="L29" s="423"/>
      <c r="M29" s="423"/>
      <c r="N29" s="423"/>
      <c r="O29" s="423"/>
      <c r="P29" s="423"/>
      <c r="Q29" s="424"/>
      <c r="R29" s="423"/>
      <c r="S29" s="424"/>
      <c r="T29" s="423"/>
      <c r="U29" s="423"/>
      <c r="V29" s="420"/>
      <c r="Y29" s="423"/>
      <c r="Z29" s="423"/>
      <c r="AA29" s="420"/>
    </row>
    <row r="30" spans="1:27" outlineLevel="2">
      <c r="B30" s="233">
        <f>B26+1</f>
        <v>2</v>
      </c>
      <c r="C30" s="407" t="str">
        <f>CONCATENATE(C$25,B30)</f>
        <v>1.2.2</v>
      </c>
      <c r="D30" s="414" t="s">
        <v>439</v>
      </c>
      <c r="E30" s="415"/>
      <c r="F30" s="415"/>
      <c r="G30" s="411">
        <f t="shared" ref="G30:J30" si="7">SUBTOTAL(9,G31:G33)</f>
        <v>0</v>
      </c>
      <c r="H30" s="411">
        <f t="shared" si="7"/>
        <v>0</v>
      </c>
      <c r="I30" s="411">
        <f t="shared" si="7"/>
        <v>0</v>
      </c>
      <c r="J30" s="411">
        <f t="shared" si="7"/>
        <v>0</v>
      </c>
      <c r="K30" s="416"/>
      <c r="L30" s="411">
        <f>SUBTOTAL(9,L31:L33)</f>
        <v>0</v>
      </c>
      <c r="M30" s="411">
        <f>SUBTOTAL(9,M31:M33)</f>
        <v>0</v>
      </c>
      <c r="N30" s="416"/>
      <c r="O30" s="416"/>
      <c r="P30" s="416"/>
      <c r="Q30" s="417"/>
      <c r="R30" s="416"/>
      <c r="S30" s="417"/>
      <c r="T30" s="416"/>
      <c r="U30" s="411">
        <f>SUBTOTAL(9,U31:U33)</f>
        <v>0</v>
      </c>
      <c r="V30" s="413"/>
      <c r="W30" s="233" t="s">
        <v>422</v>
      </c>
      <c r="Y30" s="411">
        <f>SUBTOTAL(9,Y31:Y33)</f>
        <v>0</v>
      </c>
      <c r="Z30" s="411">
        <f>SUBTOTAL(9,Z31:Z33)</f>
        <v>0</v>
      </c>
      <c r="AA30" s="413"/>
    </row>
    <row r="31" spans="1:27" outlineLevel="2">
      <c r="C31" s="407"/>
      <c r="D31" s="414"/>
      <c r="E31" s="415" t="s">
        <v>440</v>
      </c>
      <c r="F31" s="415"/>
      <c r="G31" s="410"/>
      <c r="H31" s="410"/>
      <c r="I31" s="410"/>
      <c r="J31" s="410"/>
      <c r="K31" s="416"/>
      <c r="L31" s="410"/>
      <c r="M31" s="410"/>
      <c r="N31" s="416"/>
      <c r="O31" s="416"/>
      <c r="P31" s="416"/>
      <c r="Q31" s="417"/>
      <c r="R31" s="416"/>
      <c r="S31" s="417"/>
      <c r="T31" s="416"/>
      <c r="U31" s="410"/>
      <c r="V31" s="413"/>
      <c r="Y31" s="410"/>
      <c r="Z31" s="410"/>
      <c r="AA31" s="413"/>
    </row>
    <row r="32" spans="1:27" outlineLevel="2">
      <c r="C32" s="407"/>
      <c r="D32" s="418"/>
      <c r="E32" s="415" t="s">
        <v>441</v>
      </c>
      <c r="F32" s="415"/>
      <c r="G32" s="410"/>
      <c r="H32" s="410"/>
      <c r="I32" s="410"/>
      <c r="J32" s="410"/>
      <c r="K32" s="416"/>
      <c r="L32" s="410"/>
      <c r="M32" s="410"/>
      <c r="N32" s="416"/>
      <c r="O32" s="416"/>
      <c r="P32" s="416"/>
      <c r="Q32" s="417"/>
      <c r="R32" s="416"/>
      <c r="S32" s="417"/>
      <c r="T32" s="416"/>
      <c r="U32" s="410"/>
      <c r="V32" s="413"/>
      <c r="Y32" s="410"/>
      <c r="Z32" s="410"/>
      <c r="AA32" s="413"/>
    </row>
    <row r="33" spans="2:27" ht="14.25" outlineLevel="2">
      <c r="C33" s="420"/>
      <c r="D33" s="421"/>
      <c r="E33" s="422" t="s">
        <v>430</v>
      </c>
      <c r="F33" s="423"/>
      <c r="G33" s="423"/>
      <c r="H33" s="423"/>
      <c r="I33" s="423"/>
      <c r="J33" s="423"/>
      <c r="K33" s="423"/>
      <c r="L33" s="423"/>
      <c r="M33" s="423"/>
      <c r="N33" s="423"/>
      <c r="O33" s="423"/>
      <c r="P33" s="423"/>
      <c r="Q33" s="424"/>
      <c r="R33" s="423"/>
      <c r="S33" s="424"/>
      <c r="T33" s="423"/>
      <c r="U33" s="423"/>
      <c r="V33" s="420"/>
      <c r="Y33" s="423"/>
      <c r="Z33" s="423"/>
      <c r="AA33" s="420"/>
    </row>
    <row r="34" spans="2:27" ht="14.25" outlineLevel="2">
      <c r="C34" s="407"/>
      <c r="D34" s="426" t="s">
        <v>434</v>
      </c>
      <c r="E34" s="427"/>
      <c r="F34" s="427"/>
      <c r="G34" s="427"/>
      <c r="H34" s="427"/>
      <c r="I34" s="427"/>
      <c r="J34" s="427"/>
      <c r="K34" s="427"/>
      <c r="L34" s="427"/>
      <c r="M34" s="427"/>
      <c r="N34" s="427"/>
      <c r="O34" s="427"/>
      <c r="P34" s="427"/>
      <c r="Q34" s="428"/>
      <c r="R34" s="427"/>
      <c r="S34" s="428"/>
      <c r="T34" s="427"/>
      <c r="U34" s="427"/>
      <c r="V34" s="420"/>
      <c r="Y34" s="427"/>
      <c r="Z34" s="427"/>
      <c r="AA34" s="420"/>
    </row>
    <row r="35" spans="2:27" outlineLevel="1">
      <c r="C35" s="407" t="s">
        <v>270</v>
      </c>
      <c r="D35" s="429" t="s">
        <v>442</v>
      </c>
      <c r="E35" s="409"/>
      <c r="F35" s="409"/>
      <c r="G35" s="411">
        <f t="shared" ref="G35:J35" si="8">SUBTOTAL(9,G36:G44)</f>
        <v>0</v>
      </c>
      <c r="H35" s="411">
        <f t="shared" si="8"/>
        <v>0</v>
      </c>
      <c r="I35" s="411">
        <f t="shared" si="8"/>
        <v>0</v>
      </c>
      <c r="J35" s="411">
        <f t="shared" si="8"/>
        <v>0</v>
      </c>
      <c r="K35" s="410"/>
      <c r="L35" s="411">
        <f>SUBTOTAL(9,L36:L44)</f>
        <v>0</v>
      </c>
      <c r="M35" s="411">
        <f>SUBTOTAL(9,M36:M44)</f>
        <v>0</v>
      </c>
      <c r="N35" s="411">
        <f>SUM(O35:P35)+R35</f>
        <v>0</v>
      </c>
      <c r="O35" s="410"/>
      <c r="P35" s="410"/>
      <c r="Q35" s="412"/>
      <c r="R35" s="410"/>
      <c r="S35" s="412"/>
      <c r="T35" s="410"/>
      <c r="U35" s="411">
        <f>SUBTOTAL(9,U36:U44)</f>
        <v>0</v>
      </c>
      <c r="V35" s="413"/>
      <c r="Y35" s="411">
        <f>SUBTOTAL(9,Y36:Y44)</f>
        <v>0</v>
      </c>
      <c r="Z35" s="411">
        <f>SUBTOTAL(9,Z36:Z44)</f>
        <v>0</v>
      </c>
      <c r="AA35" s="413"/>
    </row>
    <row r="36" spans="2:27" outlineLevel="2">
      <c r="B36" s="233">
        <v>1</v>
      </c>
      <c r="C36" s="407" t="str">
        <f>CONCATENATE(C$35,B36)</f>
        <v>1.3.1</v>
      </c>
      <c r="D36" s="414" t="s">
        <v>436</v>
      </c>
      <c r="E36" s="415"/>
      <c r="F36" s="415"/>
      <c r="G36" s="411">
        <f t="shared" ref="G36:J36" si="9">SUBTOTAL(9,G37:G39)</f>
        <v>0</v>
      </c>
      <c r="H36" s="411">
        <f t="shared" si="9"/>
        <v>0</v>
      </c>
      <c r="I36" s="411">
        <f t="shared" si="9"/>
        <v>0</v>
      </c>
      <c r="J36" s="411">
        <f t="shared" si="9"/>
        <v>0</v>
      </c>
      <c r="K36" s="416"/>
      <c r="L36" s="411">
        <f>SUBTOTAL(9,L37:L39)</f>
        <v>0</v>
      </c>
      <c r="M36" s="411">
        <f>SUBTOTAL(9,M37:M39)</f>
        <v>0</v>
      </c>
      <c r="N36" s="416"/>
      <c r="O36" s="416"/>
      <c r="P36" s="416"/>
      <c r="Q36" s="417"/>
      <c r="R36" s="416"/>
      <c r="S36" s="417"/>
      <c r="T36" s="416"/>
      <c r="U36" s="411">
        <f>SUBTOTAL(9,U37:U39)</f>
        <v>0</v>
      </c>
      <c r="V36" s="413"/>
      <c r="W36" s="233" t="s">
        <v>422</v>
      </c>
      <c r="Y36" s="411">
        <f>SUBTOTAL(9,Y37:Y39)</f>
        <v>0</v>
      </c>
      <c r="Z36" s="411">
        <f>SUBTOTAL(9,Z37:Z39)</f>
        <v>0</v>
      </c>
      <c r="AA36" s="413"/>
    </row>
    <row r="37" spans="2:27" outlineLevel="2">
      <c r="C37" s="407"/>
      <c r="D37" s="414"/>
      <c r="E37" s="415" t="s">
        <v>443</v>
      </c>
      <c r="F37" s="415"/>
      <c r="G37" s="410"/>
      <c r="H37" s="410"/>
      <c r="I37" s="410"/>
      <c r="J37" s="410"/>
      <c r="K37" s="416"/>
      <c r="L37" s="410"/>
      <c r="M37" s="410"/>
      <c r="N37" s="416"/>
      <c r="O37" s="416"/>
      <c r="P37" s="416"/>
      <c r="Q37" s="417"/>
      <c r="R37" s="416"/>
      <c r="S37" s="417"/>
      <c r="T37" s="416"/>
      <c r="U37" s="410"/>
      <c r="V37" s="413"/>
      <c r="Y37" s="410"/>
      <c r="Z37" s="410"/>
      <c r="AA37" s="413"/>
    </row>
    <row r="38" spans="2:27" outlineLevel="2">
      <c r="C38" s="407"/>
      <c r="D38" s="418"/>
      <c r="E38" s="415" t="s">
        <v>444</v>
      </c>
      <c r="F38" s="415"/>
      <c r="G38" s="410"/>
      <c r="H38" s="410"/>
      <c r="I38" s="410"/>
      <c r="J38" s="410"/>
      <c r="K38" s="416"/>
      <c r="L38" s="410"/>
      <c r="M38" s="410"/>
      <c r="N38" s="416"/>
      <c r="O38" s="416"/>
      <c r="P38" s="416"/>
      <c r="Q38" s="417"/>
      <c r="R38" s="416"/>
      <c r="S38" s="417"/>
      <c r="T38" s="416"/>
      <c r="U38" s="410"/>
      <c r="V38" s="413"/>
      <c r="Y38" s="410"/>
      <c r="Z38" s="410"/>
      <c r="AA38" s="413"/>
    </row>
    <row r="39" spans="2:27" ht="14.25" outlineLevel="2">
      <c r="C39" s="420"/>
      <c r="D39" s="421"/>
      <c r="E39" s="422" t="s">
        <v>430</v>
      </c>
      <c r="F39" s="423"/>
      <c r="G39" s="423"/>
      <c r="H39" s="423"/>
      <c r="I39" s="423"/>
      <c r="J39" s="423"/>
      <c r="K39" s="423"/>
      <c r="L39" s="423"/>
      <c r="M39" s="423"/>
      <c r="N39" s="423"/>
      <c r="O39" s="423"/>
      <c r="P39" s="423"/>
      <c r="Q39" s="424"/>
      <c r="R39" s="423"/>
      <c r="S39" s="424"/>
      <c r="T39" s="423"/>
      <c r="U39" s="423"/>
      <c r="V39" s="420"/>
      <c r="Y39" s="423"/>
      <c r="Z39" s="423"/>
      <c r="AA39" s="420"/>
    </row>
    <row r="40" spans="2:27" outlineLevel="2">
      <c r="B40" s="233">
        <f>B36+1</f>
        <v>2</v>
      </c>
      <c r="C40" s="407" t="str">
        <f>CONCATENATE(C$35,B40)</f>
        <v>1.3.2</v>
      </c>
      <c r="D40" s="414" t="s">
        <v>439</v>
      </c>
      <c r="E40" s="415"/>
      <c r="F40" s="415"/>
      <c r="G40" s="411">
        <f t="shared" ref="G40:J40" si="10">SUBTOTAL(9,G41:G43)</f>
        <v>0</v>
      </c>
      <c r="H40" s="411">
        <f t="shared" si="10"/>
        <v>0</v>
      </c>
      <c r="I40" s="411">
        <f t="shared" si="10"/>
        <v>0</v>
      </c>
      <c r="J40" s="411">
        <f t="shared" si="10"/>
        <v>0</v>
      </c>
      <c r="K40" s="416"/>
      <c r="L40" s="411">
        <f>SUBTOTAL(9,L41:L43)</f>
        <v>0</v>
      </c>
      <c r="M40" s="411">
        <f>SUBTOTAL(9,M41:M43)</f>
        <v>0</v>
      </c>
      <c r="N40" s="416"/>
      <c r="O40" s="416"/>
      <c r="P40" s="416"/>
      <c r="Q40" s="417"/>
      <c r="R40" s="416"/>
      <c r="S40" s="417"/>
      <c r="T40" s="416"/>
      <c r="U40" s="411">
        <f>SUBTOTAL(9,U41:U43)</f>
        <v>0</v>
      </c>
      <c r="V40" s="413"/>
      <c r="W40" s="233" t="s">
        <v>422</v>
      </c>
      <c r="Y40" s="411">
        <f>SUBTOTAL(9,Y41:Y43)</f>
        <v>0</v>
      </c>
      <c r="Z40" s="411">
        <f>SUBTOTAL(9,Z41:Z43)</f>
        <v>0</v>
      </c>
      <c r="AA40" s="413"/>
    </row>
    <row r="41" spans="2:27" outlineLevel="2">
      <c r="C41" s="407"/>
      <c r="D41" s="414"/>
      <c r="E41" s="415" t="s">
        <v>445</v>
      </c>
      <c r="F41" s="415"/>
      <c r="G41" s="410"/>
      <c r="H41" s="410"/>
      <c r="I41" s="410"/>
      <c r="J41" s="410"/>
      <c r="K41" s="416"/>
      <c r="L41" s="410"/>
      <c r="M41" s="410"/>
      <c r="N41" s="416"/>
      <c r="O41" s="416"/>
      <c r="P41" s="416"/>
      <c r="Q41" s="417"/>
      <c r="R41" s="416"/>
      <c r="S41" s="417"/>
      <c r="T41" s="416"/>
      <c r="U41" s="410"/>
      <c r="V41" s="413"/>
      <c r="Y41" s="410"/>
      <c r="Z41" s="410"/>
      <c r="AA41" s="413"/>
    </row>
    <row r="42" spans="2:27" outlineLevel="2">
      <c r="C42" s="407"/>
      <c r="D42" s="418"/>
      <c r="E42" s="415" t="s">
        <v>446</v>
      </c>
      <c r="F42" s="415"/>
      <c r="G42" s="410"/>
      <c r="H42" s="410"/>
      <c r="I42" s="410"/>
      <c r="J42" s="410"/>
      <c r="K42" s="416"/>
      <c r="L42" s="410"/>
      <c r="M42" s="410"/>
      <c r="N42" s="416"/>
      <c r="O42" s="416"/>
      <c r="P42" s="416"/>
      <c r="Q42" s="417"/>
      <c r="R42" s="416"/>
      <c r="S42" s="417"/>
      <c r="T42" s="416"/>
      <c r="U42" s="410"/>
      <c r="V42" s="413"/>
      <c r="Y42" s="410"/>
      <c r="Z42" s="410"/>
      <c r="AA42" s="413"/>
    </row>
    <row r="43" spans="2:27" ht="14.25" outlineLevel="2">
      <c r="C43" s="420"/>
      <c r="D43" s="421"/>
      <c r="E43" s="422" t="s">
        <v>430</v>
      </c>
      <c r="F43" s="423"/>
      <c r="G43" s="423"/>
      <c r="H43" s="423"/>
      <c r="I43" s="423"/>
      <c r="J43" s="423"/>
      <c r="K43" s="423"/>
      <c r="L43" s="423"/>
      <c r="M43" s="423"/>
      <c r="N43" s="423"/>
      <c r="O43" s="423"/>
      <c r="P43" s="423"/>
      <c r="Q43" s="424"/>
      <c r="R43" s="423"/>
      <c r="S43" s="424"/>
      <c r="T43" s="423"/>
      <c r="U43" s="423"/>
      <c r="V43" s="420"/>
      <c r="Y43" s="423"/>
      <c r="Z43" s="423"/>
      <c r="AA43" s="420"/>
    </row>
    <row r="44" spans="2:27" ht="14.25" outlineLevel="2">
      <c r="C44" s="407"/>
      <c r="D44" s="426" t="s">
        <v>434</v>
      </c>
      <c r="E44" s="427"/>
      <c r="F44" s="427"/>
      <c r="G44" s="427"/>
      <c r="H44" s="427"/>
      <c r="I44" s="427"/>
      <c r="J44" s="427"/>
      <c r="K44" s="427"/>
      <c r="L44" s="427"/>
      <c r="M44" s="427"/>
      <c r="N44" s="427"/>
      <c r="O44" s="427"/>
      <c r="P44" s="427"/>
      <c r="Q44" s="428"/>
      <c r="R44" s="427"/>
      <c r="S44" s="428"/>
      <c r="T44" s="427"/>
      <c r="U44" s="427"/>
      <c r="V44" s="420"/>
      <c r="Y44" s="427"/>
      <c r="Z44" s="427"/>
      <c r="AA44" s="420"/>
    </row>
    <row r="45" spans="2:27">
      <c r="C45" s="402" t="s">
        <v>237</v>
      </c>
      <c r="D45" s="402" t="s">
        <v>447</v>
      </c>
      <c r="E45" s="403"/>
      <c r="F45" s="403"/>
      <c r="G45" s="404">
        <f t="shared" ref="G45:J45" si="11">SUBTOTAL(9,G46:G54)</f>
        <v>0</v>
      </c>
      <c r="H45" s="404">
        <f t="shared" si="11"/>
        <v>0</v>
      </c>
      <c r="I45" s="404">
        <f t="shared" si="11"/>
        <v>0</v>
      </c>
      <c r="J45" s="404">
        <f t="shared" si="11"/>
        <v>0</v>
      </c>
      <c r="K45" s="431"/>
      <c r="L45" s="404">
        <f>SUBTOTAL(9,L46:L54)</f>
        <v>0</v>
      </c>
      <c r="M45" s="404">
        <f>SUBTOTAL(9,M46:M54)</f>
        <v>0</v>
      </c>
      <c r="N45" s="404">
        <f>SUM(O45:P45)+R45</f>
        <v>0</v>
      </c>
      <c r="O45" s="410"/>
      <c r="P45" s="410"/>
      <c r="Q45" s="412"/>
      <c r="R45" s="410"/>
      <c r="S45" s="412"/>
      <c r="T45" s="410"/>
      <c r="U45" s="404">
        <f>SUBTOTAL(9,U46:U54)</f>
        <v>0</v>
      </c>
      <c r="V45" s="406"/>
      <c r="Y45" s="404">
        <f>SUBTOTAL(9,Y46:Y54)</f>
        <v>0</v>
      </c>
      <c r="Z45" s="404">
        <f>SUBTOTAL(9,Z46:Z54)</f>
        <v>0</v>
      </c>
      <c r="AA45" s="406"/>
    </row>
    <row r="46" spans="2:27" outlineLevel="1">
      <c r="B46" s="233">
        <v>1</v>
      </c>
      <c r="C46" s="407" t="str">
        <f>CONCATENATE(C$45,B46)</f>
        <v>2.1</v>
      </c>
      <c r="D46" s="414" t="s">
        <v>448</v>
      </c>
      <c r="E46" s="415"/>
      <c r="F46" s="415"/>
      <c r="G46" s="411">
        <f t="shared" ref="G46:J46" si="12">SUBTOTAL(9,G47:G49)</f>
        <v>0</v>
      </c>
      <c r="H46" s="411">
        <f t="shared" si="12"/>
        <v>0</v>
      </c>
      <c r="I46" s="411">
        <f t="shared" si="12"/>
        <v>0</v>
      </c>
      <c r="J46" s="411">
        <f t="shared" si="12"/>
        <v>0</v>
      </c>
      <c r="K46" s="416"/>
      <c r="L46" s="411">
        <f>SUBTOTAL(9,L47:L49)</f>
        <v>0</v>
      </c>
      <c r="M46" s="411">
        <f>SUBTOTAL(9,M47:M49)</f>
        <v>0</v>
      </c>
      <c r="N46" s="416"/>
      <c r="O46" s="416"/>
      <c r="P46" s="416"/>
      <c r="Q46" s="417"/>
      <c r="R46" s="416"/>
      <c r="S46" s="417"/>
      <c r="T46" s="416"/>
      <c r="U46" s="411">
        <f>SUBTOTAL(9,U47:U49)</f>
        <v>0</v>
      </c>
      <c r="V46" s="413"/>
      <c r="W46" s="233" t="s">
        <v>422</v>
      </c>
      <c r="Y46" s="411">
        <f>SUBTOTAL(9,Y47:Y49)</f>
        <v>0</v>
      </c>
      <c r="Z46" s="411">
        <f>SUBTOTAL(9,Z47:Z49)</f>
        <v>0</v>
      </c>
      <c r="AA46" s="413"/>
    </row>
    <row r="47" spans="2:27" outlineLevel="1">
      <c r="C47" s="407"/>
      <c r="D47" s="414"/>
      <c r="E47" s="415" t="s">
        <v>449</v>
      </c>
      <c r="F47" s="415"/>
      <c r="G47" s="410"/>
      <c r="H47" s="410"/>
      <c r="I47" s="410"/>
      <c r="J47" s="410"/>
      <c r="K47" s="416"/>
      <c r="L47" s="410"/>
      <c r="M47" s="410"/>
      <c r="N47" s="416"/>
      <c r="O47" s="416"/>
      <c r="P47" s="416"/>
      <c r="Q47" s="417"/>
      <c r="R47" s="416"/>
      <c r="S47" s="417"/>
      <c r="T47" s="416"/>
      <c r="U47" s="410"/>
      <c r="V47" s="413"/>
      <c r="Y47" s="410"/>
      <c r="Z47" s="410"/>
      <c r="AA47" s="413"/>
    </row>
    <row r="48" spans="2:27" outlineLevel="1">
      <c r="C48" s="407"/>
      <c r="D48" s="414"/>
      <c r="E48" s="415" t="s">
        <v>450</v>
      </c>
      <c r="F48" s="415"/>
      <c r="G48" s="410"/>
      <c r="H48" s="410"/>
      <c r="I48" s="410"/>
      <c r="J48" s="410"/>
      <c r="K48" s="416"/>
      <c r="L48" s="410"/>
      <c r="M48" s="410"/>
      <c r="N48" s="416"/>
      <c r="O48" s="416"/>
      <c r="P48" s="416"/>
      <c r="Q48" s="417"/>
      <c r="R48" s="416"/>
      <c r="S48" s="417"/>
      <c r="T48" s="416"/>
      <c r="U48" s="410"/>
      <c r="V48" s="413"/>
      <c r="Y48" s="410"/>
      <c r="Z48" s="410"/>
      <c r="AA48" s="413"/>
    </row>
    <row r="49" spans="2:27" ht="14.25" outlineLevel="1">
      <c r="C49" s="420"/>
      <c r="D49" s="421"/>
      <c r="E49" s="422" t="s">
        <v>430</v>
      </c>
      <c r="F49" s="423"/>
      <c r="G49" s="423"/>
      <c r="H49" s="423"/>
      <c r="I49" s="423"/>
      <c r="J49" s="423"/>
      <c r="K49" s="423"/>
      <c r="L49" s="423"/>
      <c r="M49" s="423"/>
      <c r="N49" s="423"/>
      <c r="O49" s="423"/>
      <c r="P49" s="423"/>
      <c r="Q49" s="424"/>
      <c r="R49" s="423"/>
      <c r="S49" s="424"/>
      <c r="T49" s="423"/>
      <c r="U49" s="423"/>
      <c r="V49" s="420"/>
      <c r="Y49" s="423"/>
      <c r="Z49" s="423"/>
      <c r="AA49" s="420"/>
    </row>
    <row r="50" spans="2:27" outlineLevel="1">
      <c r="B50" s="233">
        <f>B46+1</f>
        <v>2</v>
      </c>
      <c r="C50" s="407" t="str">
        <f>CONCATENATE(C$45,B50)</f>
        <v>2.2</v>
      </c>
      <c r="D50" s="414" t="s">
        <v>451</v>
      </c>
      <c r="E50" s="415"/>
      <c r="F50" s="415"/>
      <c r="G50" s="411">
        <f t="shared" ref="G50:J50" si="13">SUBTOTAL(9,G51:G53)</f>
        <v>0</v>
      </c>
      <c r="H50" s="411">
        <f t="shared" si="13"/>
        <v>0</v>
      </c>
      <c r="I50" s="411">
        <f t="shared" si="13"/>
        <v>0</v>
      </c>
      <c r="J50" s="411">
        <f t="shared" si="13"/>
        <v>0</v>
      </c>
      <c r="K50" s="416"/>
      <c r="L50" s="411">
        <f>SUBTOTAL(9,L51:L53)</f>
        <v>0</v>
      </c>
      <c r="M50" s="411">
        <f>SUBTOTAL(9,M51:M53)</f>
        <v>0</v>
      </c>
      <c r="N50" s="416"/>
      <c r="O50" s="416"/>
      <c r="P50" s="416"/>
      <c r="Q50" s="417"/>
      <c r="R50" s="416"/>
      <c r="S50" s="417"/>
      <c r="T50" s="416"/>
      <c r="U50" s="411">
        <f>SUBTOTAL(9,U51:U53)</f>
        <v>0</v>
      </c>
      <c r="V50" s="413"/>
      <c r="W50" s="233" t="s">
        <v>422</v>
      </c>
      <c r="Y50" s="411">
        <f>SUBTOTAL(9,Y51:Y53)</f>
        <v>0</v>
      </c>
      <c r="Z50" s="411">
        <f>SUBTOTAL(9,Z51:Z53)</f>
        <v>0</v>
      </c>
      <c r="AA50" s="413"/>
    </row>
    <row r="51" spans="2:27" outlineLevel="1">
      <c r="C51" s="407"/>
      <c r="D51" s="414"/>
      <c r="E51" s="415" t="s">
        <v>452</v>
      </c>
      <c r="F51" s="415"/>
      <c r="G51" s="410"/>
      <c r="H51" s="410"/>
      <c r="I51" s="410"/>
      <c r="J51" s="410"/>
      <c r="K51" s="416"/>
      <c r="L51" s="410"/>
      <c r="M51" s="410"/>
      <c r="N51" s="416"/>
      <c r="O51" s="416"/>
      <c r="P51" s="416"/>
      <c r="Q51" s="417"/>
      <c r="R51" s="416"/>
      <c r="S51" s="417"/>
      <c r="T51" s="416"/>
      <c r="U51" s="410"/>
      <c r="V51" s="413"/>
      <c r="Y51" s="410"/>
      <c r="Z51" s="410"/>
      <c r="AA51" s="413"/>
    </row>
    <row r="52" spans="2:27" outlineLevel="1">
      <c r="C52" s="407"/>
      <c r="D52" s="418"/>
      <c r="E52" s="415" t="s">
        <v>453</v>
      </c>
      <c r="F52" s="415"/>
      <c r="G52" s="410"/>
      <c r="H52" s="410"/>
      <c r="I52" s="410"/>
      <c r="J52" s="410"/>
      <c r="K52" s="416"/>
      <c r="L52" s="410"/>
      <c r="M52" s="410"/>
      <c r="N52" s="416"/>
      <c r="O52" s="416"/>
      <c r="P52" s="416"/>
      <c r="Q52" s="417"/>
      <c r="R52" s="416"/>
      <c r="S52" s="417"/>
      <c r="T52" s="416"/>
      <c r="U52" s="410"/>
      <c r="V52" s="413"/>
      <c r="Y52" s="410"/>
      <c r="Z52" s="410"/>
      <c r="AA52" s="413"/>
    </row>
    <row r="53" spans="2:27" ht="14.25" outlineLevel="1">
      <c r="C53" s="420"/>
      <c r="D53" s="421"/>
      <c r="E53" s="422" t="s">
        <v>430</v>
      </c>
      <c r="F53" s="423"/>
      <c r="G53" s="423"/>
      <c r="H53" s="423"/>
      <c r="I53" s="423"/>
      <c r="J53" s="423"/>
      <c r="K53" s="423"/>
      <c r="L53" s="423"/>
      <c r="M53" s="423"/>
      <c r="N53" s="423"/>
      <c r="O53" s="423"/>
      <c r="P53" s="423"/>
      <c r="Q53" s="424"/>
      <c r="R53" s="423"/>
      <c r="S53" s="424"/>
      <c r="T53" s="423"/>
      <c r="U53" s="423"/>
      <c r="V53" s="420"/>
      <c r="Y53" s="423"/>
      <c r="Z53" s="423"/>
      <c r="AA53" s="420"/>
    </row>
    <row r="54" spans="2:27" ht="14.25" outlineLevel="1">
      <c r="C54" s="407"/>
      <c r="D54" s="426" t="s">
        <v>434</v>
      </c>
      <c r="E54" s="427"/>
      <c r="F54" s="427"/>
      <c r="G54" s="427"/>
      <c r="H54" s="427"/>
      <c r="I54" s="427"/>
      <c r="J54" s="427"/>
      <c r="K54" s="427"/>
      <c r="L54" s="427"/>
      <c r="M54" s="427"/>
      <c r="N54" s="427"/>
      <c r="O54" s="427"/>
      <c r="P54" s="427"/>
      <c r="Q54" s="428"/>
      <c r="R54" s="427"/>
      <c r="S54" s="428"/>
      <c r="T54" s="427"/>
      <c r="U54" s="427"/>
      <c r="V54" s="420"/>
      <c r="Y54" s="427"/>
      <c r="Z54" s="427"/>
      <c r="AA54" s="420"/>
    </row>
    <row r="55" spans="2:27" ht="25.5">
      <c r="C55" s="432" t="s">
        <v>239</v>
      </c>
      <c r="D55" s="432" t="s">
        <v>454</v>
      </c>
      <c r="E55" s="403"/>
      <c r="F55" s="403"/>
      <c r="G55" s="404">
        <f t="shared" ref="G55:J55" si="14">SUBTOTAL(9,G56:G75)</f>
        <v>0</v>
      </c>
      <c r="H55" s="404">
        <f t="shared" si="14"/>
        <v>0</v>
      </c>
      <c r="I55" s="404">
        <f t="shared" si="14"/>
        <v>0</v>
      </c>
      <c r="J55" s="404">
        <f t="shared" si="14"/>
        <v>0</v>
      </c>
      <c r="K55" s="404">
        <f>SUM(,K56,K66)</f>
        <v>0</v>
      </c>
      <c r="L55" s="404">
        <f>SUBTOTAL(9,L56:L75)</f>
        <v>0</v>
      </c>
      <c r="M55" s="404">
        <f>SUBTOTAL(9,M56:M75)</f>
        <v>0</v>
      </c>
      <c r="N55" s="404">
        <f>SUM(N56,N66)</f>
        <v>0</v>
      </c>
      <c r="O55" s="404">
        <f>SUM(O56,O66)</f>
        <v>0</v>
      </c>
      <c r="P55" s="404">
        <f>SUM(P56,P66)</f>
        <v>0</v>
      </c>
      <c r="Q55" s="433"/>
      <c r="R55" s="404">
        <f>SUM(R56,R66)</f>
        <v>0</v>
      </c>
      <c r="S55" s="433"/>
      <c r="T55" s="404">
        <f>SUM(,T56,T66)</f>
        <v>0</v>
      </c>
      <c r="U55" s="404">
        <f>SUBTOTAL(9,U56:U75)</f>
        <v>0</v>
      </c>
      <c r="V55" s="406"/>
      <c r="Y55" s="404">
        <f>SUBTOTAL(9,Y56:Y75)</f>
        <v>0</v>
      </c>
      <c r="Z55" s="404">
        <f>SUBTOTAL(9,Z56:Z75)</f>
        <v>0</v>
      </c>
      <c r="AA55" s="406"/>
    </row>
    <row r="56" spans="2:27" outlineLevel="1">
      <c r="C56" s="407" t="s">
        <v>455</v>
      </c>
      <c r="D56" s="408" t="s">
        <v>456</v>
      </c>
      <c r="E56" s="409"/>
      <c r="F56" s="409"/>
      <c r="G56" s="411">
        <f t="shared" ref="G56:J56" si="15">SUBTOTAL(9,G57:G65)</f>
        <v>0</v>
      </c>
      <c r="H56" s="411">
        <f t="shared" si="15"/>
        <v>0</v>
      </c>
      <c r="I56" s="411">
        <f t="shared" si="15"/>
        <v>0</v>
      </c>
      <c r="J56" s="411">
        <f t="shared" si="15"/>
        <v>0</v>
      </c>
      <c r="K56" s="410"/>
      <c r="L56" s="411">
        <f>SUBTOTAL(9,L57:L65)</f>
        <v>0</v>
      </c>
      <c r="M56" s="411">
        <f>SUBTOTAL(9,M57:M65)</f>
        <v>0</v>
      </c>
      <c r="N56" s="411">
        <f>SUM(O56:P56)+R56</f>
        <v>0</v>
      </c>
      <c r="O56" s="410"/>
      <c r="P56" s="410"/>
      <c r="Q56" s="412"/>
      <c r="R56" s="410"/>
      <c r="S56" s="412"/>
      <c r="T56" s="410"/>
      <c r="U56" s="411">
        <f>SUBTOTAL(9,U57:U65)</f>
        <v>0</v>
      </c>
      <c r="V56" s="413"/>
      <c r="Y56" s="411">
        <f>SUBTOTAL(9,Y57:Y65)</f>
        <v>0</v>
      </c>
      <c r="Z56" s="411">
        <f>SUBTOTAL(9,Z57:Z65)</f>
        <v>0</v>
      </c>
      <c r="AA56" s="413"/>
    </row>
    <row r="57" spans="2:27" outlineLevel="2">
      <c r="B57" s="233">
        <v>1</v>
      </c>
      <c r="C57" s="407" t="str">
        <f>CONCATENATE(C$56,B46)</f>
        <v>3.1.1</v>
      </c>
      <c r="D57" s="414" t="s">
        <v>457</v>
      </c>
      <c r="E57" s="415"/>
      <c r="F57" s="415"/>
      <c r="G57" s="411">
        <f t="shared" ref="G57:J57" si="16">SUBTOTAL(9,G58:G60)</f>
        <v>0</v>
      </c>
      <c r="H57" s="411">
        <f t="shared" si="16"/>
        <v>0</v>
      </c>
      <c r="I57" s="411">
        <f t="shared" si="16"/>
        <v>0</v>
      </c>
      <c r="J57" s="411">
        <f t="shared" si="16"/>
        <v>0</v>
      </c>
      <c r="K57" s="416"/>
      <c r="L57" s="411">
        <f>SUBTOTAL(9,L58:L60)</f>
        <v>0</v>
      </c>
      <c r="M57" s="411">
        <f>SUBTOTAL(9,M58:M60)</f>
        <v>0</v>
      </c>
      <c r="N57" s="416"/>
      <c r="O57" s="416"/>
      <c r="P57" s="416"/>
      <c r="Q57" s="417"/>
      <c r="R57" s="416"/>
      <c r="S57" s="417"/>
      <c r="T57" s="416"/>
      <c r="U57" s="411">
        <f>SUBTOTAL(9,U58:U60)</f>
        <v>0</v>
      </c>
      <c r="V57" s="413"/>
      <c r="W57" s="233" t="s">
        <v>422</v>
      </c>
      <c r="Y57" s="411">
        <f>SUBTOTAL(9,Y58:Y60)</f>
        <v>0</v>
      </c>
      <c r="Z57" s="411">
        <f>SUBTOTAL(9,Z58:Z60)</f>
        <v>0</v>
      </c>
      <c r="AA57" s="413"/>
    </row>
    <row r="58" spans="2:27" outlineLevel="2">
      <c r="C58" s="407"/>
      <c r="D58" s="414"/>
      <c r="E58" s="415" t="s">
        <v>458</v>
      </c>
      <c r="F58" s="415"/>
      <c r="G58" s="410"/>
      <c r="H58" s="410"/>
      <c r="I58" s="410"/>
      <c r="J58" s="410"/>
      <c r="K58" s="416"/>
      <c r="L58" s="410"/>
      <c r="M58" s="410"/>
      <c r="N58" s="416"/>
      <c r="O58" s="416"/>
      <c r="P58" s="416"/>
      <c r="Q58" s="417"/>
      <c r="R58" s="416"/>
      <c r="S58" s="417"/>
      <c r="T58" s="416"/>
      <c r="U58" s="410"/>
      <c r="V58" s="413"/>
      <c r="Y58" s="410"/>
      <c r="Z58" s="410"/>
      <c r="AA58" s="413"/>
    </row>
    <row r="59" spans="2:27" outlineLevel="2">
      <c r="C59" s="407"/>
      <c r="D59" s="418"/>
      <c r="E59" s="415" t="s">
        <v>459</v>
      </c>
      <c r="F59" s="415"/>
      <c r="G59" s="410"/>
      <c r="H59" s="410"/>
      <c r="I59" s="410"/>
      <c r="J59" s="410"/>
      <c r="K59" s="416"/>
      <c r="L59" s="410"/>
      <c r="M59" s="410"/>
      <c r="N59" s="416"/>
      <c r="O59" s="416"/>
      <c r="P59" s="416"/>
      <c r="Q59" s="417"/>
      <c r="R59" s="416"/>
      <c r="S59" s="417"/>
      <c r="T59" s="416"/>
      <c r="U59" s="410"/>
      <c r="V59" s="413"/>
      <c r="Y59" s="410"/>
      <c r="Z59" s="410"/>
      <c r="AA59" s="413"/>
    </row>
    <row r="60" spans="2:27" ht="14.25" outlineLevel="2">
      <c r="C60" s="420"/>
      <c r="D60" s="421"/>
      <c r="E60" s="422" t="s">
        <v>430</v>
      </c>
      <c r="F60" s="423"/>
      <c r="G60" s="423"/>
      <c r="H60" s="423"/>
      <c r="I60" s="423"/>
      <c r="J60" s="423"/>
      <c r="K60" s="423"/>
      <c r="L60" s="423"/>
      <c r="M60" s="423"/>
      <c r="N60" s="423"/>
      <c r="O60" s="423"/>
      <c r="P60" s="423"/>
      <c r="Q60" s="424"/>
      <c r="R60" s="423"/>
      <c r="S60" s="424"/>
      <c r="T60" s="423"/>
      <c r="U60" s="423"/>
      <c r="V60" s="420"/>
      <c r="Y60" s="423"/>
      <c r="Z60" s="423"/>
      <c r="AA60" s="420"/>
    </row>
    <row r="61" spans="2:27" outlineLevel="2">
      <c r="B61" s="233">
        <f>B57+1</f>
        <v>2</v>
      </c>
      <c r="C61" s="407" t="s">
        <v>460</v>
      </c>
      <c r="D61" s="414" t="s">
        <v>461</v>
      </c>
      <c r="E61" s="415"/>
      <c r="F61" s="415"/>
      <c r="G61" s="411">
        <f t="shared" ref="G61:J61" si="17">SUBTOTAL(9,G62:G64)</f>
        <v>0</v>
      </c>
      <c r="H61" s="411">
        <f t="shared" si="17"/>
        <v>0</v>
      </c>
      <c r="I61" s="411">
        <f t="shared" si="17"/>
        <v>0</v>
      </c>
      <c r="J61" s="411">
        <f t="shared" si="17"/>
        <v>0</v>
      </c>
      <c r="K61" s="416"/>
      <c r="L61" s="411">
        <f>SUBTOTAL(9,L62:L64)</f>
        <v>0</v>
      </c>
      <c r="M61" s="411">
        <f>SUBTOTAL(9,M62:M64)</f>
        <v>0</v>
      </c>
      <c r="N61" s="416"/>
      <c r="O61" s="416"/>
      <c r="P61" s="416"/>
      <c r="Q61" s="417"/>
      <c r="R61" s="416"/>
      <c r="S61" s="417"/>
      <c r="T61" s="416"/>
      <c r="U61" s="411">
        <f>SUBTOTAL(9,U62:U64)</f>
        <v>0</v>
      </c>
      <c r="V61" s="413"/>
      <c r="W61" s="233" t="s">
        <v>422</v>
      </c>
      <c r="Y61" s="411">
        <f>SUBTOTAL(9,Y62:Y64)</f>
        <v>0</v>
      </c>
      <c r="Z61" s="411">
        <f>SUBTOTAL(9,Z62:Z64)</f>
        <v>0</v>
      </c>
      <c r="AA61" s="413"/>
    </row>
    <row r="62" spans="2:27" outlineLevel="2">
      <c r="C62" s="407"/>
      <c r="D62" s="414"/>
      <c r="E62" s="415" t="s">
        <v>462</v>
      </c>
      <c r="F62" s="415"/>
      <c r="G62" s="410"/>
      <c r="H62" s="410"/>
      <c r="I62" s="410"/>
      <c r="J62" s="410"/>
      <c r="K62" s="416"/>
      <c r="L62" s="410"/>
      <c r="M62" s="410"/>
      <c r="N62" s="416"/>
      <c r="O62" s="416"/>
      <c r="P62" s="416"/>
      <c r="Q62" s="417"/>
      <c r="R62" s="416"/>
      <c r="S62" s="417"/>
      <c r="T62" s="416"/>
      <c r="U62" s="410"/>
      <c r="V62" s="413"/>
      <c r="Y62" s="410"/>
      <c r="Z62" s="410"/>
      <c r="AA62" s="413"/>
    </row>
    <row r="63" spans="2:27" outlineLevel="2">
      <c r="C63" s="407"/>
      <c r="D63" s="418"/>
      <c r="E63" s="415" t="s">
        <v>463</v>
      </c>
      <c r="F63" s="415"/>
      <c r="G63" s="410"/>
      <c r="H63" s="410"/>
      <c r="I63" s="410"/>
      <c r="J63" s="410"/>
      <c r="K63" s="416"/>
      <c r="L63" s="410"/>
      <c r="M63" s="410"/>
      <c r="N63" s="416"/>
      <c r="O63" s="416"/>
      <c r="P63" s="416"/>
      <c r="Q63" s="417"/>
      <c r="R63" s="416"/>
      <c r="S63" s="417"/>
      <c r="T63" s="416"/>
      <c r="U63" s="410"/>
      <c r="V63" s="413"/>
      <c r="Y63" s="410"/>
      <c r="Z63" s="410"/>
      <c r="AA63" s="413"/>
    </row>
    <row r="64" spans="2:27" ht="14.25" outlineLevel="2">
      <c r="C64" s="420"/>
      <c r="D64" s="421"/>
      <c r="E64" s="422" t="s">
        <v>430</v>
      </c>
      <c r="F64" s="423"/>
      <c r="G64" s="423"/>
      <c r="H64" s="423"/>
      <c r="I64" s="423"/>
      <c r="J64" s="423"/>
      <c r="K64" s="423"/>
      <c r="L64" s="423"/>
      <c r="M64" s="423"/>
      <c r="N64" s="423"/>
      <c r="O64" s="423"/>
      <c r="P64" s="423"/>
      <c r="Q64" s="424"/>
      <c r="R64" s="423"/>
      <c r="S64" s="424"/>
      <c r="T64" s="423"/>
      <c r="U64" s="423"/>
      <c r="V64" s="420"/>
      <c r="Y64" s="423"/>
      <c r="Z64" s="423"/>
      <c r="AA64" s="420"/>
    </row>
    <row r="65" spans="2:27" ht="14.25" outlineLevel="2">
      <c r="C65" s="407"/>
      <c r="D65" s="426" t="s">
        <v>434</v>
      </c>
      <c r="E65" s="427"/>
      <c r="F65" s="427"/>
      <c r="G65" s="427"/>
      <c r="H65" s="427"/>
      <c r="I65" s="427"/>
      <c r="J65" s="427"/>
      <c r="K65" s="427"/>
      <c r="L65" s="427"/>
      <c r="M65" s="427"/>
      <c r="N65" s="427"/>
      <c r="O65" s="427"/>
      <c r="P65" s="427"/>
      <c r="Q65" s="428"/>
      <c r="R65" s="427"/>
      <c r="S65" s="428"/>
      <c r="T65" s="427"/>
      <c r="U65" s="427"/>
      <c r="V65" s="420"/>
      <c r="Y65" s="427"/>
      <c r="Z65" s="427"/>
      <c r="AA65" s="420"/>
    </row>
    <row r="66" spans="2:27" ht="25.5" outlineLevel="1">
      <c r="C66" s="407" t="s">
        <v>464</v>
      </c>
      <c r="D66" s="408" t="s">
        <v>465</v>
      </c>
      <c r="E66" s="409"/>
      <c r="F66" s="409"/>
      <c r="G66" s="411">
        <f t="shared" ref="G66:J66" si="18">SUBTOTAL(9,G67:G75)</f>
        <v>0</v>
      </c>
      <c r="H66" s="411">
        <f t="shared" si="18"/>
        <v>0</v>
      </c>
      <c r="I66" s="411">
        <f t="shared" si="18"/>
        <v>0</v>
      </c>
      <c r="J66" s="411">
        <f t="shared" si="18"/>
        <v>0</v>
      </c>
      <c r="K66" s="410"/>
      <c r="L66" s="411">
        <f>SUBTOTAL(9,L67:L75)</f>
        <v>0</v>
      </c>
      <c r="M66" s="411">
        <f>SUBTOTAL(9,M67:M75)</f>
        <v>0</v>
      </c>
      <c r="N66" s="411">
        <f>SUM(O66:P66)+R66</f>
        <v>0</v>
      </c>
      <c r="O66" s="410"/>
      <c r="P66" s="410"/>
      <c r="Q66" s="412"/>
      <c r="R66" s="410"/>
      <c r="S66" s="412"/>
      <c r="T66" s="410"/>
      <c r="U66" s="411">
        <f>SUBTOTAL(9,U67:U75)</f>
        <v>0</v>
      </c>
      <c r="V66" s="413"/>
      <c r="Y66" s="411">
        <f>SUBTOTAL(9,Y67:Y75)</f>
        <v>0</v>
      </c>
      <c r="Z66" s="411">
        <f>SUBTOTAL(9,Z67:Z75)</f>
        <v>0</v>
      </c>
      <c r="AA66" s="413"/>
    </row>
    <row r="67" spans="2:27" outlineLevel="2">
      <c r="B67" s="233">
        <v>1</v>
      </c>
      <c r="C67" s="407" t="str">
        <f>CONCATENATE(C$66,B67)</f>
        <v>3.2.1</v>
      </c>
      <c r="D67" s="414" t="s">
        <v>466</v>
      </c>
      <c r="E67" s="415"/>
      <c r="F67" s="415"/>
      <c r="G67" s="411">
        <f t="shared" ref="G67:J67" si="19">SUBTOTAL(9,G68:G70)</f>
        <v>0</v>
      </c>
      <c r="H67" s="411">
        <f t="shared" si="19"/>
        <v>0</v>
      </c>
      <c r="I67" s="411">
        <f t="shared" si="19"/>
        <v>0</v>
      </c>
      <c r="J67" s="411">
        <f t="shared" si="19"/>
        <v>0</v>
      </c>
      <c r="K67" s="416"/>
      <c r="L67" s="411">
        <f>SUBTOTAL(9,L68:L70)</f>
        <v>0</v>
      </c>
      <c r="M67" s="411">
        <f>SUBTOTAL(9,M68:M70)</f>
        <v>0</v>
      </c>
      <c r="N67" s="416"/>
      <c r="O67" s="416"/>
      <c r="P67" s="416"/>
      <c r="Q67" s="417"/>
      <c r="R67" s="416"/>
      <c r="S67" s="417"/>
      <c r="T67" s="416"/>
      <c r="U67" s="411">
        <f>SUBTOTAL(9,U68:U70)</f>
        <v>0</v>
      </c>
      <c r="V67" s="413"/>
      <c r="W67" s="233" t="s">
        <v>422</v>
      </c>
      <c r="Y67" s="411">
        <f>SUBTOTAL(9,Y68:Y70)</f>
        <v>0</v>
      </c>
      <c r="Z67" s="411">
        <f>SUBTOTAL(9,Z68:Z70)</f>
        <v>0</v>
      </c>
      <c r="AA67" s="413"/>
    </row>
    <row r="68" spans="2:27" outlineLevel="2">
      <c r="C68" s="407"/>
      <c r="D68" s="414"/>
      <c r="E68" s="415" t="s">
        <v>467</v>
      </c>
      <c r="F68" s="415"/>
      <c r="G68" s="410"/>
      <c r="H68" s="410"/>
      <c r="I68" s="410"/>
      <c r="J68" s="410"/>
      <c r="K68" s="416"/>
      <c r="L68" s="410"/>
      <c r="M68" s="410"/>
      <c r="N68" s="416"/>
      <c r="O68" s="416"/>
      <c r="P68" s="416"/>
      <c r="Q68" s="417"/>
      <c r="R68" s="416"/>
      <c r="S68" s="417"/>
      <c r="T68" s="416"/>
      <c r="U68" s="410"/>
      <c r="V68" s="413"/>
      <c r="Y68" s="410"/>
      <c r="Z68" s="410"/>
      <c r="AA68" s="413"/>
    </row>
    <row r="69" spans="2:27" outlineLevel="2">
      <c r="C69" s="407"/>
      <c r="D69" s="418"/>
      <c r="E69" s="415" t="s">
        <v>468</v>
      </c>
      <c r="F69" s="415"/>
      <c r="G69" s="410"/>
      <c r="H69" s="410"/>
      <c r="I69" s="410"/>
      <c r="J69" s="410"/>
      <c r="K69" s="416"/>
      <c r="L69" s="410"/>
      <c r="M69" s="410"/>
      <c r="N69" s="416"/>
      <c r="O69" s="416"/>
      <c r="P69" s="416"/>
      <c r="Q69" s="417"/>
      <c r="R69" s="416"/>
      <c r="S69" s="417"/>
      <c r="T69" s="416"/>
      <c r="U69" s="410"/>
      <c r="V69" s="413"/>
      <c r="Y69" s="410"/>
      <c r="Z69" s="410"/>
      <c r="AA69" s="413"/>
    </row>
    <row r="70" spans="2:27" ht="14.25" outlineLevel="2">
      <c r="C70" s="420"/>
      <c r="D70" s="421"/>
      <c r="E70" s="422" t="s">
        <v>430</v>
      </c>
      <c r="F70" s="423"/>
      <c r="G70" s="423"/>
      <c r="H70" s="423"/>
      <c r="I70" s="423"/>
      <c r="J70" s="423"/>
      <c r="K70" s="423"/>
      <c r="L70" s="423"/>
      <c r="M70" s="423"/>
      <c r="N70" s="423"/>
      <c r="O70" s="423"/>
      <c r="P70" s="423"/>
      <c r="Q70" s="424"/>
      <c r="R70" s="423"/>
      <c r="S70" s="424"/>
      <c r="T70" s="423"/>
      <c r="U70" s="423"/>
      <c r="V70" s="420"/>
      <c r="Y70" s="423"/>
      <c r="Z70" s="423"/>
      <c r="AA70" s="420"/>
    </row>
    <row r="71" spans="2:27" outlineLevel="2">
      <c r="B71" s="233">
        <f>B67+1</f>
        <v>2</v>
      </c>
      <c r="C71" s="407" t="str">
        <f>CONCATENATE(C$66,B71)</f>
        <v>3.2.2</v>
      </c>
      <c r="D71" s="414" t="s">
        <v>469</v>
      </c>
      <c r="E71" s="415"/>
      <c r="F71" s="415"/>
      <c r="G71" s="411">
        <f t="shared" ref="G71:J71" si="20">SUBTOTAL(9,G72:G74)</f>
        <v>0</v>
      </c>
      <c r="H71" s="411">
        <f t="shared" si="20"/>
        <v>0</v>
      </c>
      <c r="I71" s="411">
        <f t="shared" si="20"/>
        <v>0</v>
      </c>
      <c r="J71" s="411">
        <f t="shared" si="20"/>
        <v>0</v>
      </c>
      <c r="K71" s="416"/>
      <c r="L71" s="411">
        <f>SUBTOTAL(9,L72:L74)</f>
        <v>0</v>
      </c>
      <c r="M71" s="411">
        <f>SUBTOTAL(9,M72:M74)</f>
        <v>0</v>
      </c>
      <c r="N71" s="416"/>
      <c r="O71" s="416"/>
      <c r="P71" s="416"/>
      <c r="Q71" s="417"/>
      <c r="R71" s="416"/>
      <c r="S71" s="417"/>
      <c r="T71" s="416"/>
      <c r="U71" s="411">
        <f>SUBTOTAL(9,U72:U74)</f>
        <v>0</v>
      </c>
      <c r="V71" s="413"/>
      <c r="W71" s="233" t="s">
        <v>422</v>
      </c>
      <c r="Y71" s="411">
        <f>SUBTOTAL(9,Y72:Y74)</f>
        <v>0</v>
      </c>
      <c r="Z71" s="411">
        <f>SUBTOTAL(9,Z72:Z74)</f>
        <v>0</v>
      </c>
      <c r="AA71" s="413"/>
    </row>
    <row r="72" spans="2:27" outlineLevel="2">
      <c r="C72" s="407"/>
      <c r="D72" s="414"/>
      <c r="E72" s="415" t="s">
        <v>470</v>
      </c>
      <c r="F72" s="415"/>
      <c r="G72" s="410"/>
      <c r="H72" s="410"/>
      <c r="I72" s="410"/>
      <c r="J72" s="410"/>
      <c r="K72" s="416"/>
      <c r="L72" s="410"/>
      <c r="M72" s="410"/>
      <c r="N72" s="416"/>
      <c r="O72" s="416"/>
      <c r="P72" s="416"/>
      <c r="Q72" s="417"/>
      <c r="R72" s="416"/>
      <c r="S72" s="417"/>
      <c r="T72" s="416"/>
      <c r="U72" s="410"/>
      <c r="V72" s="413"/>
      <c r="Y72" s="410"/>
      <c r="Z72" s="410"/>
      <c r="AA72" s="413"/>
    </row>
    <row r="73" spans="2:27" outlineLevel="2">
      <c r="C73" s="407"/>
      <c r="D73" s="418"/>
      <c r="E73" s="415" t="s">
        <v>471</v>
      </c>
      <c r="F73" s="415"/>
      <c r="G73" s="410"/>
      <c r="H73" s="410"/>
      <c r="I73" s="410"/>
      <c r="J73" s="410"/>
      <c r="K73" s="416"/>
      <c r="L73" s="410"/>
      <c r="M73" s="410"/>
      <c r="N73" s="416"/>
      <c r="O73" s="416"/>
      <c r="P73" s="416"/>
      <c r="Q73" s="417"/>
      <c r="R73" s="416"/>
      <c r="S73" s="417"/>
      <c r="T73" s="416"/>
      <c r="U73" s="410"/>
      <c r="V73" s="413"/>
      <c r="Y73" s="410"/>
      <c r="Z73" s="410"/>
      <c r="AA73" s="413"/>
    </row>
    <row r="74" spans="2:27" ht="14.25" outlineLevel="2">
      <c r="C74" s="420"/>
      <c r="D74" s="421"/>
      <c r="E74" s="422" t="s">
        <v>430</v>
      </c>
      <c r="F74" s="423"/>
      <c r="G74" s="423"/>
      <c r="H74" s="423"/>
      <c r="I74" s="423"/>
      <c r="J74" s="423"/>
      <c r="K74" s="423"/>
      <c r="L74" s="423"/>
      <c r="M74" s="423"/>
      <c r="N74" s="423"/>
      <c r="O74" s="423"/>
      <c r="P74" s="423"/>
      <c r="Q74" s="424"/>
      <c r="R74" s="423"/>
      <c r="S74" s="424"/>
      <c r="T74" s="423"/>
      <c r="U74" s="423"/>
      <c r="V74" s="420"/>
      <c r="Y74" s="423"/>
      <c r="Z74" s="423"/>
      <c r="AA74" s="420"/>
    </row>
    <row r="75" spans="2:27" ht="14.25" outlineLevel="2">
      <c r="C75" s="407"/>
      <c r="D75" s="426" t="s">
        <v>434</v>
      </c>
      <c r="E75" s="427"/>
      <c r="F75" s="427"/>
      <c r="G75" s="427"/>
      <c r="H75" s="427"/>
      <c r="I75" s="427"/>
      <c r="J75" s="427"/>
      <c r="K75" s="427"/>
      <c r="L75" s="427"/>
      <c r="M75" s="427"/>
      <c r="N75" s="427"/>
      <c r="O75" s="427"/>
      <c r="P75" s="427"/>
      <c r="Q75" s="428"/>
      <c r="R75" s="427"/>
      <c r="S75" s="428"/>
      <c r="T75" s="427"/>
      <c r="U75" s="427"/>
      <c r="V75" s="420"/>
      <c r="Y75" s="427"/>
      <c r="Z75" s="427"/>
      <c r="AA75" s="420"/>
    </row>
    <row r="76" spans="2:27">
      <c r="C76" s="432" t="s">
        <v>242</v>
      </c>
      <c r="D76" s="432" t="s">
        <v>472</v>
      </c>
      <c r="E76" s="403"/>
      <c r="F76" s="403"/>
      <c r="G76" s="404">
        <f t="shared" ref="G76:J76" si="21">SUBTOTAL(9,G77:G106)</f>
        <v>0</v>
      </c>
      <c r="H76" s="404">
        <f t="shared" si="21"/>
        <v>0</v>
      </c>
      <c r="I76" s="404">
        <f t="shared" si="21"/>
        <v>0</v>
      </c>
      <c r="J76" s="404">
        <f t="shared" si="21"/>
        <v>0</v>
      </c>
      <c r="K76" s="404">
        <f>SUM(,K77,K87,K97)</f>
        <v>0</v>
      </c>
      <c r="L76" s="404">
        <f>SUBTOTAL(9,L77:L106)</f>
        <v>0</v>
      </c>
      <c r="M76" s="404">
        <f>SUBTOTAL(9,M77:M106)</f>
        <v>0</v>
      </c>
      <c r="N76" s="404">
        <f>SUM(,N77,N87,N97)</f>
        <v>0</v>
      </c>
      <c r="O76" s="404">
        <f>SUM(,O77,O87,O97)</f>
        <v>0</v>
      </c>
      <c r="P76" s="404">
        <f>SUM(,P77,P87,P97)</f>
        <v>0</v>
      </c>
      <c r="Q76" s="412"/>
      <c r="R76" s="404">
        <f>SUM(R77,R87,R97)</f>
        <v>0</v>
      </c>
      <c r="S76" s="412"/>
      <c r="T76" s="404">
        <f>SUM(T77,T87,T97)</f>
        <v>0</v>
      </c>
      <c r="U76" s="404">
        <f>SUBTOTAL(9,U77:U106)</f>
        <v>0</v>
      </c>
      <c r="V76" s="406"/>
      <c r="Y76" s="404">
        <f>SUBTOTAL(9,Y77:Y106)</f>
        <v>0</v>
      </c>
      <c r="Z76" s="404">
        <f>SUBTOTAL(9,Z77:Z106)</f>
        <v>0</v>
      </c>
      <c r="AA76" s="406"/>
    </row>
    <row r="77" spans="2:27" ht="25.5" outlineLevel="1">
      <c r="C77" s="407" t="s">
        <v>473</v>
      </c>
      <c r="D77" s="407" t="s">
        <v>474</v>
      </c>
      <c r="E77" s="409"/>
      <c r="F77" s="409"/>
      <c r="G77" s="411">
        <f t="shared" ref="G77:J77" si="22">SUBTOTAL(9,G78:G86)</f>
        <v>0</v>
      </c>
      <c r="H77" s="411">
        <f t="shared" si="22"/>
        <v>0</v>
      </c>
      <c r="I77" s="411">
        <f t="shared" si="22"/>
        <v>0</v>
      </c>
      <c r="J77" s="411">
        <f t="shared" si="22"/>
        <v>0</v>
      </c>
      <c r="K77" s="410"/>
      <c r="L77" s="411">
        <f>SUBTOTAL(9,L78:L86)</f>
        <v>0</v>
      </c>
      <c r="M77" s="411">
        <f>SUBTOTAL(9,M78:M86)</f>
        <v>0</v>
      </c>
      <c r="N77" s="411">
        <f>SUM(O77:P77)+R77</f>
        <v>0</v>
      </c>
      <c r="O77" s="410"/>
      <c r="P77" s="410"/>
      <c r="Q77" s="412"/>
      <c r="R77" s="410"/>
      <c r="S77" s="412"/>
      <c r="T77" s="410"/>
      <c r="U77" s="411">
        <f>SUBTOTAL(9,U78:U86)</f>
        <v>0</v>
      </c>
      <c r="V77" s="413"/>
      <c r="W77" s="236"/>
      <c r="X77" s="236"/>
      <c r="Y77" s="411">
        <f>SUBTOTAL(9,Y78:Y86)</f>
        <v>0</v>
      </c>
      <c r="Z77" s="411">
        <f>SUBTOTAL(9,Z78:Z86)</f>
        <v>0</v>
      </c>
      <c r="AA77" s="413"/>
    </row>
    <row r="78" spans="2:27" outlineLevel="2">
      <c r="B78" s="233">
        <v>1</v>
      </c>
      <c r="C78" s="407" t="str">
        <f>CONCATENATE(C$77,B78)</f>
        <v>4.1.1</v>
      </c>
      <c r="D78" s="414" t="s">
        <v>475</v>
      </c>
      <c r="E78" s="415"/>
      <c r="F78" s="415"/>
      <c r="G78" s="411">
        <f t="shared" ref="G78:J78" si="23">SUBTOTAL(9,G79:G81)</f>
        <v>0</v>
      </c>
      <c r="H78" s="411">
        <f t="shared" si="23"/>
        <v>0</v>
      </c>
      <c r="I78" s="411">
        <f t="shared" si="23"/>
        <v>0</v>
      </c>
      <c r="J78" s="411">
        <f t="shared" si="23"/>
        <v>0</v>
      </c>
      <c r="K78" s="416"/>
      <c r="L78" s="411">
        <f>SUBTOTAL(9,L79:L81)</f>
        <v>0</v>
      </c>
      <c r="M78" s="411">
        <f>SUBTOTAL(9,M79:M81)</f>
        <v>0</v>
      </c>
      <c r="N78" s="416"/>
      <c r="O78" s="416"/>
      <c r="P78" s="416"/>
      <c r="Q78" s="417"/>
      <c r="R78" s="416"/>
      <c r="S78" s="417"/>
      <c r="T78" s="416"/>
      <c r="U78" s="411">
        <f>SUBTOTAL(9,U79:U81)</f>
        <v>0</v>
      </c>
      <c r="V78" s="413"/>
      <c r="W78" s="233" t="s">
        <v>422</v>
      </c>
      <c r="Y78" s="411">
        <f>SUBTOTAL(9,Y79:Y81)</f>
        <v>0</v>
      </c>
      <c r="Z78" s="411">
        <f>SUBTOTAL(9,Z79:Z81)</f>
        <v>0</v>
      </c>
      <c r="AA78" s="413"/>
    </row>
    <row r="79" spans="2:27" outlineLevel="2">
      <c r="C79" s="407"/>
      <c r="D79" s="414"/>
      <c r="E79" s="415" t="s">
        <v>476</v>
      </c>
      <c r="F79" s="415"/>
      <c r="G79" s="410"/>
      <c r="H79" s="410"/>
      <c r="I79" s="410"/>
      <c r="J79" s="410"/>
      <c r="K79" s="416"/>
      <c r="L79" s="410"/>
      <c r="M79" s="410"/>
      <c r="N79" s="416"/>
      <c r="O79" s="416"/>
      <c r="P79" s="416"/>
      <c r="Q79" s="417"/>
      <c r="R79" s="416"/>
      <c r="S79" s="417"/>
      <c r="T79" s="416"/>
      <c r="U79" s="410"/>
      <c r="V79" s="413"/>
      <c r="W79" s="236"/>
      <c r="X79" s="236"/>
      <c r="Y79" s="410"/>
      <c r="Z79" s="410"/>
      <c r="AA79" s="413"/>
    </row>
    <row r="80" spans="2:27" outlineLevel="2">
      <c r="C80" s="407"/>
      <c r="D80" s="418"/>
      <c r="E80" s="415" t="s">
        <v>477</v>
      </c>
      <c r="F80" s="415"/>
      <c r="G80" s="410"/>
      <c r="H80" s="410"/>
      <c r="I80" s="410"/>
      <c r="J80" s="410"/>
      <c r="K80" s="416"/>
      <c r="L80" s="410"/>
      <c r="M80" s="410"/>
      <c r="N80" s="416"/>
      <c r="O80" s="416"/>
      <c r="P80" s="416"/>
      <c r="Q80" s="417"/>
      <c r="R80" s="416"/>
      <c r="S80" s="417"/>
      <c r="T80" s="416"/>
      <c r="U80" s="410"/>
      <c r="V80" s="413"/>
      <c r="W80" s="236"/>
      <c r="X80" s="236"/>
      <c r="Y80" s="410"/>
      <c r="Z80" s="410"/>
      <c r="AA80" s="413"/>
    </row>
    <row r="81" spans="2:27" ht="14.25" outlineLevel="2">
      <c r="C81" s="420"/>
      <c r="D81" s="421"/>
      <c r="E81" s="422" t="s">
        <v>430</v>
      </c>
      <c r="F81" s="423"/>
      <c r="G81" s="423"/>
      <c r="H81" s="423"/>
      <c r="I81" s="423"/>
      <c r="J81" s="423"/>
      <c r="K81" s="423"/>
      <c r="L81" s="423"/>
      <c r="M81" s="423"/>
      <c r="N81" s="423"/>
      <c r="O81" s="423"/>
      <c r="P81" s="423"/>
      <c r="Q81" s="424"/>
      <c r="R81" s="423"/>
      <c r="S81" s="424"/>
      <c r="T81" s="423"/>
      <c r="U81" s="423"/>
      <c r="V81" s="420"/>
      <c r="W81" s="236"/>
      <c r="X81" s="236"/>
      <c r="Y81" s="423"/>
      <c r="Z81" s="423"/>
      <c r="AA81" s="420"/>
    </row>
    <row r="82" spans="2:27" outlineLevel="2">
      <c r="B82" s="233">
        <f>B78+1</f>
        <v>2</v>
      </c>
      <c r="C82" s="407" t="str">
        <f>CONCATENATE(C$77,B82)</f>
        <v>4.1.2</v>
      </c>
      <c r="D82" s="414" t="s">
        <v>478</v>
      </c>
      <c r="E82" s="415"/>
      <c r="F82" s="415"/>
      <c r="G82" s="411">
        <f t="shared" ref="G82:J82" si="24">SUBTOTAL(9,G83:G85)</f>
        <v>0</v>
      </c>
      <c r="H82" s="411">
        <f t="shared" si="24"/>
        <v>0</v>
      </c>
      <c r="I82" s="411">
        <f t="shared" si="24"/>
        <v>0</v>
      </c>
      <c r="J82" s="411">
        <f t="shared" si="24"/>
        <v>0</v>
      </c>
      <c r="K82" s="416"/>
      <c r="L82" s="411">
        <f>SUBTOTAL(9,L83:L85)</f>
        <v>0</v>
      </c>
      <c r="M82" s="411">
        <f>SUBTOTAL(9,M83:M85)</f>
        <v>0</v>
      </c>
      <c r="N82" s="416"/>
      <c r="O82" s="416"/>
      <c r="P82" s="416"/>
      <c r="Q82" s="417"/>
      <c r="R82" s="416"/>
      <c r="S82" s="417"/>
      <c r="T82" s="416"/>
      <c r="U82" s="411">
        <f>SUBTOTAL(9,U83:U85)</f>
        <v>0</v>
      </c>
      <c r="V82" s="413"/>
      <c r="W82" s="233" t="s">
        <v>422</v>
      </c>
      <c r="Y82" s="411">
        <f>SUBTOTAL(9,Y83:Y85)</f>
        <v>0</v>
      </c>
      <c r="Z82" s="411">
        <f>SUBTOTAL(9,Z83:Z85)</f>
        <v>0</v>
      </c>
      <c r="AA82" s="413"/>
    </row>
    <row r="83" spans="2:27" outlineLevel="2">
      <c r="C83" s="407"/>
      <c r="D83" s="414"/>
      <c r="E83" s="415" t="s">
        <v>479</v>
      </c>
      <c r="F83" s="415"/>
      <c r="G83" s="410"/>
      <c r="H83" s="410"/>
      <c r="I83" s="410"/>
      <c r="J83" s="410"/>
      <c r="K83" s="416"/>
      <c r="L83" s="410"/>
      <c r="M83" s="410"/>
      <c r="N83" s="416"/>
      <c r="O83" s="416"/>
      <c r="P83" s="416"/>
      <c r="Q83" s="417"/>
      <c r="R83" s="416"/>
      <c r="S83" s="417"/>
      <c r="T83" s="416"/>
      <c r="U83" s="410"/>
      <c r="V83" s="413"/>
      <c r="W83" s="236"/>
      <c r="X83" s="236"/>
      <c r="Y83" s="410"/>
      <c r="Z83" s="410"/>
      <c r="AA83" s="413"/>
    </row>
    <row r="84" spans="2:27" outlineLevel="2">
      <c r="C84" s="407"/>
      <c r="D84" s="418"/>
      <c r="E84" s="415" t="s">
        <v>480</v>
      </c>
      <c r="F84" s="415"/>
      <c r="G84" s="410"/>
      <c r="H84" s="410"/>
      <c r="I84" s="410"/>
      <c r="J84" s="410"/>
      <c r="K84" s="416"/>
      <c r="L84" s="410"/>
      <c r="M84" s="410"/>
      <c r="N84" s="416"/>
      <c r="O84" s="416"/>
      <c r="P84" s="416"/>
      <c r="Q84" s="417"/>
      <c r="R84" s="416"/>
      <c r="S84" s="417"/>
      <c r="T84" s="416"/>
      <c r="U84" s="410"/>
      <c r="V84" s="413"/>
      <c r="Y84" s="410"/>
      <c r="Z84" s="410"/>
      <c r="AA84" s="413"/>
    </row>
    <row r="85" spans="2:27" ht="14.25" outlineLevel="2">
      <c r="C85" s="420"/>
      <c r="D85" s="421"/>
      <c r="E85" s="422" t="s">
        <v>430</v>
      </c>
      <c r="F85" s="423"/>
      <c r="G85" s="423"/>
      <c r="H85" s="423"/>
      <c r="I85" s="423"/>
      <c r="J85" s="423"/>
      <c r="K85" s="423"/>
      <c r="L85" s="423"/>
      <c r="M85" s="423"/>
      <c r="N85" s="423"/>
      <c r="O85" s="423"/>
      <c r="P85" s="423"/>
      <c r="Q85" s="424"/>
      <c r="R85" s="423"/>
      <c r="S85" s="424"/>
      <c r="T85" s="423"/>
      <c r="U85" s="423"/>
      <c r="V85" s="420"/>
      <c r="Y85" s="423"/>
      <c r="Z85" s="423"/>
      <c r="AA85" s="420"/>
    </row>
    <row r="86" spans="2:27" ht="14.25" outlineLevel="2">
      <c r="C86" s="407"/>
      <c r="D86" s="426" t="s">
        <v>434</v>
      </c>
      <c r="E86" s="427"/>
      <c r="F86" s="427"/>
      <c r="G86" s="427"/>
      <c r="H86" s="427"/>
      <c r="I86" s="427"/>
      <c r="J86" s="427"/>
      <c r="K86" s="427"/>
      <c r="L86" s="427"/>
      <c r="M86" s="427"/>
      <c r="N86" s="427"/>
      <c r="O86" s="427"/>
      <c r="P86" s="427"/>
      <c r="Q86" s="428"/>
      <c r="R86" s="427"/>
      <c r="S86" s="428"/>
      <c r="T86" s="427"/>
      <c r="U86" s="427"/>
      <c r="V86" s="420"/>
      <c r="Y86" s="427"/>
      <c r="Z86" s="427"/>
      <c r="AA86" s="420"/>
    </row>
    <row r="87" spans="2:27" outlineLevel="1">
      <c r="C87" s="434" t="s">
        <v>481</v>
      </c>
      <c r="D87" s="407" t="s">
        <v>482</v>
      </c>
      <c r="E87" s="409"/>
      <c r="F87" s="409"/>
      <c r="G87" s="411">
        <f t="shared" ref="G87:J87" si="25">SUBTOTAL(9,G88:G96)</f>
        <v>0</v>
      </c>
      <c r="H87" s="411">
        <f t="shared" si="25"/>
        <v>0</v>
      </c>
      <c r="I87" s="411">
        <f t="shared" si="25"/>
        <v>0</v>
      </c>
      <c r="J87" s="411">
        <f t="shared" si="25"/>
        <v>0</v>
      </c>
      <c r="K87" s="410"/>
      <c r="L87" s="411">
        <f>SUBTOTAL(9,L88:L96)</f>
        <v>0</v>
      </c>
      <c r="M87" s="411">
        <f>SUBTOTAL(9,M88:M96)</f>
        <v>0</v>
      </c>
      <c r="N87" s="411">
        <f>SUM(O87:P87)+R87</f>
        <v>0</v>
      </c>
      <c r="O87" s="410"/>
      <c r="P87" s="410"/>
      <c r="Q87" s="412"/>
      <c r="R87" s="410"/>
      <c r="S87" s="412"/>
      <c r="T87" s="410"/>
      <c r="U87" s="411">
        <f>SUBTOTAL(9,U88:U96)</f>
        <v>0</v>
      </c>
      <c r="V87" s="413"/>
      <c r="W87" s="236"/>
      <c r="X87" s="236"/>
      <c r="Y87" s="411">
        <f>SUBTOTAL(9,Y88:Y96)</f>
        <v>0</v>
      </c>
      <c r="Z87" s="411">
        <f>SUBTOTAL(9,Z88:Z96)</f>
        <v>0</v>
      </c>
      <c r="AA87" s="413"/>
    </row>
    <row r="88" spans="2:27" outlineLevel="2">
      <c r="B88" s="233">
        <v>1</v>
      </c>
      <c r="C88" s="407" t="str">
        <f>CONCATENATE(C$87,B88)</f>
        <v>4.2.1</v>
      </c>
      <c r="D88" s="414" t="s">
        <v>483</v>
      </c>
      <c r="E88" s="415"/>
      <c r="F88" s="415"/>
      <c r="G88" s="411">
        <f t="shared" ref="G88:J88" si="26">SUBTOTAL(9,G89:G91)</f>
        <v>0</v>
      </c>
      <c r="H88" s="411">
        <f t="shared" si="26"/>
        <v>0</v>
      </c>
      <c r="I88" s="411">
        <f t="shared" si="26"/>
        <v>0</v>
      </c>
      <c r="J88" s="411">
        <f t="shared" si="26"/>
        <v>0</v>
      </c>
      <c r="K88" s="416"/>
      <c r="L88" s="411">
        <f>SUBTOTAL(9,L89:L91)</f>
        <v>0</v>
      </c>
      <c r="M88" s="411">
        <f>SUBTOTAL(9,M89:M91)</f>
        <v>0</v>
      </c>
      <c r="N88" s="416"/>
      <c r="O88" s="416"/>
      <c r="P88" s="416"/>
      <c r="Q88" s="417"/>
      <c r="R88" s="416"/>
      <c r="S88" s="417"/>
      <c r="T88" s="416"/>
      <c r="U88" s="411">
        <f>SUBTOTAL(9,U89:U91)</f>
        <v>0</v>
      </c>
      <c r="V88" s="413"/>
      <c r="W88" s="233" t="s">
        <v>422</v>
      </c>
      <c r="Y88" s="411">
        <f>SUBTOTAL(9,Y89:Y91)</f>
        <v>0</v>
      </c>
      <c r="Z88" s="411">
        <f>SUBTOTAL(9,Z89:Z91)</f>
        <v>0</v>
      </c>
      <c r="AA88" s="413"/>
    </row>
    <row r="89" spans="2:27" outlineLevel="2">
      <c r="C89" s="407"/>
      <c r="D89" s="414"/>
      <c r="E89" s="415" t="s">
        <v>484</v>
      </c>
      <c r="F89" s="415"/>
      <c r="G89" s="410"/>
      <c r="H89" s="410"/>
      <c r="I89" s="410"/>
      <c r="J89" s="410"/>
      <c r="K89" s="416"/>
      <c r="L89" s="410"/>
      <c r="M89" s="410"/>
      <c r="N89" s="416"/>
      <c r="O89" s="416"/>
      <c r="P89" s="416"/>
      <c r="Q89" s="417"/>
      <c r="R89" s="416"/>
      <c r="S89" s="417"/>
      <c r="T89" s="416"/>
      <c r="U89" s="410"/>
      <c r="V89" s="413"/>
      <c r="W89" s="236"/>
      <c r="X89" s="236"/>
      <c r="Y89" s="410"/>
      <c r="Z89" s="410"/>
      <c r="AA89" s="413"/>
    </row>
    <row r="90" spans="2:27" outlineLevel="2">
      <c r="C90" s="407"/>
      <c r="D90" s="414"/>
      <c r="E90" s="415" t="s">
        <v>485</v>
      </c>
      <c r="F90" s="415"/>
      <c r="G90" s="410"/>
      <c r="H90" s="410"/>
      <c r="I90" s="410"/>
      <c r="J90" s="410"/>
      <c r="K90" s="416"/>
      <c r="L90" s="410"/>
      <c r="M90" s="410"/>
      <c r="N90" s="416"/>
      <c r="O90" s="416"/>
      <c r="P90" s="416"/>
      <c r="Q90" s="417"/>
      <c r="R90" s="416"/>
      <c r="S90" s="417"/>
      <c r="T90" s="416"/>
      <c r="U90" s="410"/>
      <c r="V90" s="413"/>
      <c r="Y90" s="410"/>
      <c r="Z90" s="410"/>
      <c r="AA90" s="413"/>
    </row>
    <row r="91" spans="2:27" ht="14.25" outlineLevel="2">
      <c r="C91" s="420"/>
      <c r="D91" s="421"/>
      <c r="E91" s="422" t="s">
        <v>430</v>
      </c>
      <c r="F91" s="423"/>
      <c r="G91" s="423"/>
      <c r="H91" s="423"/>
      <c r="I91" s="423"/>
      <c r="J91" s="423"/>
      <c r="K91" s="423"/>
      <c r="L91" s="423"/>
      <c r="M91" s="423"/>
      <c r="N91" s="423"/>
      <c r="O91" s="423"/>
      <c r="P91" s="423"/>
      <c r="Q91" s="424"/>
      <c r="R91" s="423"/>
      <c r="S91" s="424"/>
      <c r="T91" s="423"/>
      <c r="U91" s="423"/>
      <c r="V91" s="420"/>
      <c r="W91" s="236"/>
      <c r="X91" s="236"/>
      <c r="Y91" s="423"/>
      <c r="Z91" s="423"/>
      <c r="AA91" s="420"/>
    </row>
    <row r="92" spans="2:27" outlineLevel="2">
      <c r="B92" s="233">
        <f>B88+1</f>
        <v>2</v>
      </c>
      <c r="C92" s="407" t="str">
        <f>CONCATENATE(C$87,B92)</f>
        <v>4.2.2</v>
      </c>
      <c r="D92" s="414" t="s">
        <v>486</v>
      </c>
      <c r="E92" s="415"/>
      <c r="F92" s="415"/>
      <c r="G92" s="411">
        <f t="shared" ref="G92:J92" si="27">SUBTOTAL(9,G93:G95)</f>
        <v>0</v>
      </c>
      <c r="H92" s="411">
        <f t="shared" si="27"/>
        <v>0</v>
      </c>
      <c r="I92" s="411">
        <f t="shared" si="27"/>
        <v>0</v>
      </c>
      <c r="J92" s="411">
        <f t="shared" si="27"/>
        <v>0</v>
      </c>
      <c r="K92" s="416"/>
      <c r="L92" s="411">
        <f>SUBTOTAL(9,L93:L95)</f>
        <v>0</v>
      </c>
      <c r="M92" s="411">
        <f>SUBTOTAL(9,M93:M95)</f>
        <v>0</v>
      </c>
      <c r="N92" s="416"/>
      <c r="O92" s="416"/>
      <c r="P92" s="416"/>
      <c r="Q92" s="417"/>
      <c r="R92" s="416"/>
      <c r="S92" s="417"/>
      <c r="T92" s="416"/>
      <c r="U92" s="411">
        <f>SUBTOTAL(9,U93:U95)</f>
        <v>0</v>
      </c>
      <c r="V92" s="413"/>
      <c r="W92" s="233" t="s">
        <v>422</v>
      </c>
      <c r="Y92" s="411">
        <f>SUBTOTAL(9,Y93:Y95)</f>
        <v>0</v>
      </c>
      <c r="Z92" s="411">
        <f>SUBTOTAL(9,Z93:Z95)</f>
        <v>0</v>
      </c>
      <c r="AA92" s="413"/>
    </row>
    <row r="93" spans="2:27" outlineLevel="2">
      <c r="C93" s="407"/>
      <c r="D93" s="414"/>
      <c r="E93" s="415" t="s">
        <v>487</v>
      </c>
      <c r="F93" s="415"/>
      <c r="G93" s="410"/>
      <c r="H93" s="410"/>
      <c r="I93" s="410"/>
      <c r="J93" s="410"/>
      <c r="K93" s="416"/>
      <c r="L93" s="410"/>
      <c r="M93" s="410"/>
      <c r="N93" s="416"/>
      <c r="O93" s="416"/>
      <c r="P93" s="416"/>
      <c r="Q93" s="417"/>
      <c r="R93" s="416"/>
      <c r="S93" s="417"/>
      <c r="T93" s="416"/>
      <c r="U93" s="410"/>
      <c r="V93" s="413"/>
      <c r="W93" s="236"/>
      <c r="X93" s="236"/>
      <c r="Y93" s="410"/>
      <c r="Z93" s="410"/>
      <c r="AA93" s="413"/>
    </row>
    <row r="94" spans="2:27" outlineLevel="2">
      <c r="C94" s="407"/>
      <c r="D94" s="418"/>
      <c r="E94" s="415" t="s">
        <v>488</v>
      </c>
      <c r="F94" s="415"/>
      <c r="G94" s="410"/>
      <c r="H94" s="410"/>
      <c r="I94" s="410"/>
      <c r="J94" s="410"/>
      <c r="K94" s="416"/>
      <c r="L94" s="410"/>
      <c r="M94" s="410"/>
      <c r="N94" s="416"/>
      <c r="O94" s="416"/>
      <c r="P94" s="416"/>
      <c r="Q94" s="417"/>
      <c r="R94" s="416"/>
      <c r="S94" s="417"/>
      <c r="T94" s="416"/>
      <c r="U94" s="410"/>
      <c r="V94" s="413"/>
      <c r="Y94" s="410"/>
      <c r="Z94" s="410"/>
      <c r="AA94" s="413"/>
    </row>
    <row r="95" spans="2:27" ht="14.25" outlineLevel="2">
      <c r="C95" s="420"/>
      <c r="D95" s="421"/>
      <c r="E95" s="422" t="s">
        <v>430</v>
      </c>
      <c r="F95" s="423"/>
      <c r="G95" s="423"/>
      <c r="H95" s="423"/>
      <c r="I95" s="423"/>
      <c r="J95" s="423"/>
      <c r="K95" s="423"/>
      <c r="L95" s="423"/>
      <c r="M95" s="423"/>
      <c r="N95" s="423"/>
      <c r="O95" s="423"/>
      <c r="P95" s="423"/>
      <c r="Q95" s="424"/>
      <c r="R95" s="423"/>
      <c r="S95" s="424"/>
      <c r="T95" s="423"/>
      <c r="U95" s="423"/>
      <c r="V95" s="420"/>
      <c r="Y95" s="423"/>
      <c r="Z95" s="423"/>
      <c r="AA95" s="420"/>
    </row>
    <row r="96" spans="2:27" ht="14.25" outlineLevel="2">
      <c r="C96" s="407"/>
      <c r="D96" s="426" t="s">
        <v>434</v>
      </c>
      <c r="E96" s="427"/>
      <c r="F96" s="427"/>
      <c r="G96" s="423"/>
      <c r="H96" s="423"/>
      <c r="I96" s="423"/>
      <c r="J96" s="423"/>
      <c r="K96" s="427"/>
      <c r="L96" s="423"/>
      <c r="M96" s="423"/>
      <c r="N96" s="427"/>
      <c r="O96" s="427"/>
      <c r="P96" s="427"/>
      <c r="Q96" s="428"/>
      <c r="R96" s="427"/>
      <c r="S96" s="428"/>
      <c r="T96" s="427"/>
      <c r="U96" s="427"/>
      <c r="V96" s="420"/>
      <c r="Y96" s="427"/>
      <c r="Z96" s="427"/>
      <c r="AA96" s="420"/>
    </row>
    <row r="97" spans="2:27" outlineLevel="1">
      <c r="C97" s="434" t="s">
        <v>489</v>
      </c>
      <c r="D97" s="407" t="s">
        <v>490</v>
      </c>
      <c r="E97" s="409"/>
      <c r="F97" s="409"/>
      <c r="G97" s="411">
        <f t="shared" ref="G97:J97" si="28">SUBTOTAL(9,G98:G106)</f>
        <v>0</v>
      </c>
      <c r="H97" s="411">
        <f t="shared" si="28"/>
        <v>0</v>
      </c>
      <c r="I97" s="411">
        <f t="shared" si="28"/>
        <v>0</v>
      </c>
      <c r="J97" s="411">
        <f t="shared" si="28"/>
        <v>0</v>
      </c>
      <c r="K97" s="410"/>
      <c r="L97" s="411">
        <f>SUBTOTAL(9,L98:L106)</f>
        <v>0</v>
      </c>
      <c r="M97" s="411">
        <f>SUBTOTAL(9,M98:M106)</f>
        <v>0</v>
      </c>
      <c r="N97" s="411">
        <f>SUM(O97:P97)+R97</f>
        <v>0</v>
      </c>
      <c r="O97" s="410"/>
      <c r="P97" s="410"/>
      <c r="Q97" s="412"/>
      <c r="R97" s="410"/>
      <c r="S97" s="412"/>
      <c r="T97" s="410"/>
      <c r="U97" s="411">
        <f>SUBTOTAL(9,U98:U106)</f>
        <v>0</v>
      </c>
      <c r="V97" s="413"/>
      <c r="Y97" s="411">
        <f>SUBTOTAL(9,Y98:Y106)</f>
        <v>0</v>
      </c>
      <c r="Z97" s="411">
        <f>SUBTOTAL(9,Z98:Z106)</f>
        <v>0</v>
      </c>
      <c r="AA97" s="413"/>
    </row>
    <row r="98" spans="2:27" outlineLevel="2">
      <c r="B98" s="233">
        <v>1</v>
      </c>
      <c r="C98" s="407" t="str">
        <f>CONCATENATE(C$97,B98)</f>
        <v>4.3.1</v>
      </c>
      <c r="D98" s="414" t="s">
        <v>491</v>
      </c>
      <c r="E98" s="415"/>
      <c r="F98" s="415"/>
      <c r="G98" s="411">
        <f t="shared" ref="G98:J98" si="29">SUBTOTAL(9,G99:G101)</f>
        <v>0</v>
      </c>
      <c r="H98" s="411">
        <f t="shared" si="29"/>
        <v>0</v>
      </c>
      <c r="I98" s="411">
        <f t="shared" si="29"/>
        <v>0</v>
      </c>
      <c r="J98" s="411">
        <f t="shared" si="29"/>
        <v>0</v>
      </c>
      <c r="K98" s="416"/>
      <c r="L98" s="411">
        <f>SUBTOTAL(9,L99:L101)</f>
        <v>0</v>
      </c>
      <c r="M98" s="411">
        <f>SUBTOTAL(9,M99:M101)</f>
        <v>0</v>
      </c>
      <c r="N98" s="416"/>
      <c r="O98" s="416"/>
      <c r="P98" s="416"/>
      <c r="Q98" s="417"/>
      <c r="R98" s="416"/>
      <c r="S98" s="417"/>
      <c r="T98" s="416"/>
      <c r="U98" s="411">
        <f>SUBTOTAL(9,U99:U101)</f>
        <v>0</v>
      </c>
      <c r="V98" s="413"/>
      <c r="W98" s="233" t="s">
        <v>422</v>
      </c>
      <c r="Y98" s="411">
        <f>SUBTOTAL(9,Y99:Y101)</f>
        <v>0</v>
      </c>
      <c r="Z98" s="411">
        <f>SUBTOTAL(9,Z99:Z101)</f>
        <v>0</v>
      </c>
      <c r="AA98" s="413"/>
    </row>
    <row r="99" spans="2:27" outlineLevel="2">
      <c r="C99" s="407"/>
      <c r="D99" s="414"/>
      <c r="E99" s="415" t="s">
        <v>492</v>
      </c>
      <c r="F99" s="415"/>
      <c r="G99" s="410"/>
      <c r="H99" s="410"/>
      <c r="I99" s="410"/>
      <c r="J99" s="410"/>
      <c r="K99" s="416"/>
      <c r="L99" s="410"/>
      <c r="M99" s="410"/>
      <c r="N99" s="416"/>
      <c r="O99" s="416"/>
      <c r="P99" s="416"/>
      <c r="Q99" s="417"/>
      <c r="R99" s="416"/>
      <c r="S99" s="417"/>
      <c r="T99" s="416"/>
      <c r="U99" s="410"/>
      <c r="V99" s="413"/>
      <c r="Y99" s="410"/>
      <c r="Z99" s="410"/>
      <c r="AA99" s="413"/>
    </row>
    <row r="100" spans="2:27" outlineLevel="2">
      <c r="C100" s="407"/>
      <c r="D100" s="418"/>
      <c r="E100" s="415" t="s">
        <v>493</v>
      </c>
      <c r="F100" s="415"/>
      <c r="G100" s="410"/>
      <c r="H100" s="410"/>
      <c r="I100" s="410"/>
      <c r="J100" s="410"/>
      <c r="K100" s="416"/>
      <c r="L100" s="410"/>
      <c r="M100" s="410"/>
      <c r="N100" s="416"/>
      <c r="O100" s="416"/>
      <c r="P100" s="416"/>
      <c r="Q100" s="417"/>
      <c r="R100" s="416"/>
      <c r="S100" s="417"/>
      <c r="T100" s="416"/>
      <c r="U100" s="410"/>
      <c r="V100" s="413"/>
      <c r="Y100" s="410"/>
      <c r="Z100" s="410"/>
      <c r="AA100" s="413"/>
    </row>
    <row r="101" spans="2:27" ht="14.25" outlineLevel="2">
      <c r="C101" s="420"/>
      <c r="D101" s="421"/>
      <c r="E101" s="422" t="s">
        <v>430</v>
      </c>
      <c r="F101" s="423"/>
      <c r="G101" s="423"/>
      <c r="H101" s="423"/>
      <c r="I101" s="423"/>
      <c r="J101" s="423"/>
      <c r="K101" s="423"/>
      <c r="L101" s="423"/>
      <c r="M101" s="423"/>
      <c r="N101" s="423"/>
      <c r="O101" s="423"/>
      <c r="P101" s="423"/>
      <c r="Q101" s="424"/>
      <c r="R101" s="423"/>
      <c r="S101" s="424"/>
      <c r="T101" s="423"/>
      <c r="U101" s="423"/>
      <c r="V101" s="420"/>
      <c r="Y101" s="423"/>
      <c r="Z101" s="423"/>
      <c r="AA101" s="420"/>
    </row>
    <row r="102" spans="2:27" outlineLevel="2">
      <c r="B102" s="233">
        <f>B98+1</f>
        <v>2</v>
      </c>
      <c r="C102" s="407" t="str">
        <f>CONCATENATE(C$97,B102)</f>
        <v>4.3.2</v>
      </c>
      <c r="D102" s="414" t="s">
        <v>494</v>
      </c>
      <c r="E102" s="415"/>
      <c r="F102" s="415"/>
      <c r="G102" s="411">
        <f t="shared" ref="G102:J102" si="30">SUBTOTAL(9,G103:G105)</f>
        <v>0</v>
      </c>
      <c r="H102" s="411">
        <f t="shared" si="30"/>
        <v>0</v>
      </c>
      <c r="I102" s="411">
        <f t="shared" si="30"/>
        <v>0</v>
      </c>
      <c r="J102" s="411">
        <f t="shared" si="30"/>
        <v>0</v>
      </c>
      <c r="K102" s="416"/>
      <c r="L102" s="411">
        <f>SUBTOTAL(9,L103:L105)</f>
        <v>0</v>
      </c>
      <c r="M102" s="411">
        <f>SUBTOTAL(9,M103:M105)</f>
        <v>0</v>
      </c>
      <c r="N102" s="416"/>
      <c r="O102" s="416"/>
      <c r="P102" s="416"/>
      <c r="Q102" s="417"/>
      <c r="R102" s="416"/>
      <c r="S102" s="417"/>
      <c r="T102" s="416"/>
      <c r="U102" s="411">
        <f>SUBTOTAL(9,U103:U105)</f>
        <v>0</v>
      </c>
      <c r="V102" s="413"/>
      <c r="W102" s="233" t="s">
        <v>422</v>
      </c>
      <c r="Y102" s="411">
        <f>SUBTOTAL(9,Y103:Y105)</f>
        <v>0</v>
      </c>
      <c r="Z102" s="411">
        <f>SUBTOTAL(9,Z103:Z105)</f>
        <v>0</v>
      </c>
      <c r="AA102" s="413"/>
    </row>
    <row r="103" spans="2:27" outlineLevel="2">
      <c r="C103" s="407"/>
      <c r="D103" s="414"/>
      <c r="E103" s="415" t="s">
        <v>495</v>
      </c>
      <c r="F103" s="415"/>
      <c r="G103" s="410"/>
      <c r="H103" s="410"/>
      <c r="I103" s="410"/>
      <c r="J103" s="410"/>
      <c r="K103" s="416"/>
      <c r="L103" s="410"/>
      <c r="M103" s="410"/>
      <c r="N103" s="416"/>
      <c r="O103" s="416"/>
      <c r="P103" s="416"/>
      <c r="Q103" s="417"/>
      <c r="R103" s="416"/>
      <c r="S103" s="417"/>
      <c r="T103" s="416"/>
      <c r="U103" s="410"/>
      <c r="V103" s="413"/>
      <c r="Y103" s="410"/>
      <c r="Z103" s="410"/>
      <c r="AA103" s="413"/>
    </row>
    <row r="104" spans="2:27" outlineLevel="2">
      <c r="C104" s="407"/>
      <c r="D104" s="418"/>
      <c r="E104" s="415" t="s">
        <v>496</v>
      </c>
      <c r="F104" s="415"/>
      <c r="G104" s="410"/>
      <c r="H104" s="410"/>
      <c r="I104" s="410"/>
      <c r="J104" s="410"/>
      <c r="K104" s="416"/>
      <c r="L104" s="410"/>
      <c r="M104" s="410"/>
      <c r="N104" s="416"/>
      <c r="O104" s="416"/>
      <c r="P104" s="416"/>
      <c r="Q104" s="417"/>
      <c r="R104" s="416"/>
      <c r="S104" s="417"/>
      <c r="T104" s="416"/>
      <c r="U104" s="410"/>
      <c r="V104" s="413"/>
      <c r="Y104" s="410"/>
      <c r="Z104" s="410"/>
      <c r="AA104" s="413"/>
    </row>
    <row r="105" spans="2:27" ht="14.25" outlineLevel="2">
      <c r="C105" s="420"/>
      <c r="D105" s="421"/>
      <c r="E105" s="422" t="s">
        <v>430</v>
      </c>
      <c r="F105" s="423"/>
      <c r="G105" s="423"/>
      <c r="H105" s="423"/>
      <c r="I105" s="423"/>
      <c r="J105" s="423"/>
      <c r="K105" s="423"/>
      <c r="L105" s="423"/>
      <c r="M105" s="423"/>
      <c r="N105" s="423"/>
      <c r="O105" s="423"/>
      <c r="P105" s="423"/>
      <c r="Q105" s="424"/>
      <c r="R105" s="423"/>
      <c r="S105" s="424"/>
      <c r="T105" s="423"/>
      <c r="U105" s="423"/>
      <c r="V105" s="420"/>
      <c r="Y105" s="423"/>
      <c r="Z105" s="423"/>
      <c r="AA105" s="420"/>
    </row>
    <row r="106" spans="2:27" ht="14.25" outlineLevel="2">
      <c r="C106" s="407"/>
      <c r="D106" s="426" t="s">
        <v>434</v>
      </c>
      <c r="E106" s="427"/>
      <c r="F106" s="427"/>
      <c r="G106" s="427"/>
      <c r="H106" s="427"/>
      <c r="I106" s="427"/>
      <c r="J106" s="427"/>
      <c r="K106" s="427"/>
      <c r="L106" s="427"/>
      <c r="M106" s="427"/>
      <c r="N106" s="427"/>
      <c r="O106" s="427"/>
      <c r="P106" s="427"/>
      <c r="Q106" s="428"/>
      <c r="R106" s="427"/>
      <c r="S106" s="428"/>
      <c r="T106" s="427"/>
      <c r="U106" s="427"/>
      <c r="V106" s="420"/>
      <c r="Y106" s="427"/>
      <c r="Z106" s="427"/>
      <c r="AA106" s="420"/>
    </row>
    <row r="107" spans="2:27">
      <c r="C107" s="435"/>
      <c r="D107" s="432" t="s">
        <v>497</v>
      </c>
      <c r="E107" s="403"/>
      <c r="F107" s="403"/>
      <c r="G107" s="404">
        <f t="shared" ref="G107:J107" si="31">SUM(G9,G45,G55,G76)</f>
        <v>0</v>
      </c>
      <c r="H107" s="404">
        <f t="shared" si="31"/>
        <v>0</v>
      </c>
      <c r="I107" s="404">
        <f t="shared" si="31"/>
        <v>0</v>
      </c>
      <c r="J107" s="404">
        <f t="shared" si="31"/>
        <v>0</v>
      </c>
      <c r="K107" s="410"/>
      <c r="L107" s="404">
        <f>SUM(L9,L45,L55,L76)</f>
        <v>0</v>
      </c>
      <c r="M107" s="404">
        <f>SUM(M9,M45,M55,M76)</f>
        <v>0</v>
      </c>
      <c r="N107" s="404">
        <f>SUM(N9,N45,N55,N76)</f>
        <v>0</v>
      </c>
      <c r="O107" s="404">
        <f>SUM(O9,O45,O55,O76)</f>
        <v>0</v>
      </c>
      <c r="P107" s="404">
        <f>SUM(P9,P45,P55,P76)</f>
        <v>0</v>
      </c>
      <c r="Q107" s="417"/>
      <c r="R107" s="404">
        <f>SUM(R9,R45,R55,R76)</f>
        <v>0</v>
      </c>
      <c r="S107" s="417"/>
      <c r="T107" s="410"/>
      <c r="U107" s="404">
        <f>SUM(U9,U45,U55,U76)</f>
        <v>0</v>
      </c>
      <c r="V107" s="436"/>
      <c r="Y107" s="404">
        <f>SUM(Y9,Y45,Y55,Y76)</f>
        <v>0</v>
      </c>
      <c r="Z107" s="404">
        <f>SUM(Z9,Z45,Z55,Z76)</f>
        <v>0</v>
      </c>
      <c r="AA107" s="436"/>
    </row>
    <row r="109" spans="2:27">
      <c r="D109" s="437" t="s">
        <v>498</v>
      </c>
      <c r="E109" s="438"/>
      <c r="F109" s="438"/>
      <c r="G109" s="438"/>
      <c r="H109" s="438"/>
      <c r="I109" s="438"/>
      <c r="J109" s="438"/>
    </row>
    <row r="110" spans="2:27">
      <c r="D110" s="2306"/>
      <c r="E110" s="2306"/>
      <c r="F110" s="2306"/>
      <c r="G110" s="2306"/>
      <c r="H110" s="2306"/>
      <c r="I110" s="2306"/>
      <c r="J110" s="2306"/>
      <c r="K110" s="2306"/>
      <c r="L110" s="2306"/>
    </row>
    <row r="111" spans="2:27">
      <c r="D111" s="2306" t="s">
        <v>499</v>
      </c>
      <c r="E111" s="2306"/>
      <c r="F111" s="2306"/>
      <c r="G111" s="2306"/>
      <c r="H111" s="2306"/>
      <c r="I111" s="2306"/>
      <c r="J111" s="2306"/>
      <c r="K111" s="2306"/>
      <c r="L111" s="2306"/>
    </row>
    <row r="112" spans="2:27">
      <c r="D112" s="439" t="s">
        <v>2164</v>
      </c>
    </row>
    <row r="113" spans="3:27">
      <c r="D113" s="440" t="s">
        <v>500</v>
      </c>
      <c r="M113" s="441"/>
      <c r="N113" s="441"/>
      <c r="O113" s="441"/>
      <c r="P113" s="441"/>
      <c r="Q113" s="441"/>
      <c r="R113" s="441"/>
      <c r="S113" s="441"/>
      <c r="T113" s="441"/>
      <c r="U113" s="441"/>
      <c r="V113" s="441"/>
      <c r="Y113" s="441"/>
      <c r="Z113" s="441"/>
      <c r="AA113" s="441"/>
    </row>
    <row r="114" spans="3:27">
      <c r="D114" s="440" t="s">
        <v>501</v>
      </c>
      <c r="E114" s="442"/>
      <c r="F114" s="442"/>
      <c r="G114" s="442"/>
      <c r="H114" s="442"/>
      <c r="I114" s="442"/>
      <c r="J114" s="442"/>
      <c r="K114" s="442"/>
      <c r="L114" s="442"/>
    </row>
    <row r="115" spans="3:27">
      <c r="D115" s="440" t="s">
        <v>502</v>
      </c>
      <c r="E115" s="443"/>
      <c r="F115" s="443"/>
      <c r="G115" s="443"/>
      <c r="H115" s="443"/>
      <c r="I115" s="443"/>
      <c r="J115" s="443"/>
    </row>
    <row r="116" spans="3:27">
      <c r="D116" s="440" t="s">
        <v>503</v>
      </c>
    </row>
    <row r="118" spans="3:27">
      <c r="D118" s="444"/>
      <c r="E118" s="442"/>
      <c r="F118" s="442"/>
      <c r="G118" s="442"/>
      <c r="H118" s="442"/>
      <c r="I118" s="442"/>
      <c r="J118" s="442"/>
      <c r="K118" s="442"/>
      <c r="L118" s="442"/>
      <c r="M118" s="442"/>
      <c r="N118" s="442"/>
      <c r="O118" s="442"/>
      <c r="P118" s="442"/>
      <c r="Q118" s="442"/>
      <c r="R118" s="442"/>
      <c r="S118" s="442"/>
    </row>
    <row r="119" spans="3:27">
      <c r="D119" s="444"/>
      <c r="E119" s="442"/>
      <c r="F119" s="442"/>
      <c r="G119" s="442"/>
      <c r="H119" s="442"/>
      <c r="I119" s="442"/>
      <c r="J119" s="442"/>
      <c r="K119" s="442"/>
      <c r="L119" s="442"/>
      <c r="M119" s="442"/>
      <c r="N119" s="442"/>
      <c r="O119" s="442"/>
      <c r="P119" s="442"/>
      <c r="Q119" s="442"/>
      <c r="R119" s="442"/>
      <c r="S119" s="442"/>
    </row>
    <row r="120" spans="3:27" ht="14.25">
      <c r="D120" s="2315"/>
      <c r="E120" s="2315"/>
      <c r="F120" s="2315"/>
      <c r="G120" s="2315"/>
      <c r="H120" s="2315"/>
      <c r="I120" s="2315"/>
      <c r="J120" s="2315"/>
      <c r="K120" s="2316"/>
      <c r="L120" s="445"/>
      <c r="M120" s="445"/>
      <c r="N120" s="445"/>
      <c r="O120" s="445"/>
      <c r="P120" s="445"/>
      <c r="Q120" s="445"/>
      <c r="R120" s="445"/>
      <c r="S120" s="445"/>
      <c r="T120" s="446"/>
      <c r="U120" s="446"/>
      <c r="V120" s="446"/>
      <c r="Y120" s="446"/>
      <c r="Z120" s="446"/>
      <c r="AA120" s="446"/>
    </row>
    <row r="121" spans="3:27" ht="14.25">
      <c r="C121" s="447"/>
      <c r="D121" s="448"/>
      <c r="E121" s="449"/>
      <c r="F121" s="449"/>
      <c r="G121" s="449"/>
      <c r="H121" s="449"/>
      <c r="I121" s="449"/>
      <c r="J121" s="449"/>
      <c r="K121" s="449"/>
      <c r="L121" s="449"/>
      <c r="M121" s="449"/>
      <c r="N121" s="449"/>
      <c r="O121" s="449"/>
      <c r="P121" s="449"/>
      <c r="Q121" s="449"/>
      <c r="R121" s="449"/>
      <c r="S121" s="449"/>
    </row>
    <row r="122" spans="3:27" ht="14.25">
      <c r="D122" s="2315"/>
      <c r="E122" s="2315"/>
      <c r="F122" s="2315"/>
      <c r="G122" s="2315"/>
      <c r="H122" s="2315"/>
      <c r="I122" s="2315"/>
      <c r="J122" s="2315"/>
      <c r="K122" s="2316"/>
      <c r="L122" s="445"/>
      <c r="M122" s="445"/>
      <c r="N122" s="445"/>
      <c r="O122" s="445"/>
      <c r="P122" s="445"/>
      <c r="Q122" s="445"/>
      <c r="R122" s="445"/>
      <c r="S122" s="445"/>
    </row>
    <row r="123" spans="3:27">
      <c r="D123" s="444"/>
      <c r="E123" s="442"/>
      <c r="F123" s="442"/>
      <c r="G123" s="442"/>
      <c r="H123" s="442"/>
      <c r="I123" s="442"/>
      <c r="J123" s="442"/>
      <c r="K123" s="442"/>
      <c r="L123" s="442"/>
      <c r="M123" s="442"/>
      <c r="N123" s="442"/>
      <c r="O123" s="442"/>
      <c r="P123" s="442"/>
      <c r="Q123" s="442"/>
      <c r="R123" s="442"/>
      <c r="S123" s="442"/>
    </row>
    <row r="124" spans="3:27">
      <c r="D124" s="444"/>
      <c r="E124" s="442"/>
      <c r="F124" s="442"/>
      <c r="G124" s="442"/>
      <c r="H124" s="442"/>
      <c r="I124" s="442"/>
      <c r="J124" s="442"/>
      <c r="K124" s="442"/>
      <c r="L124" s="442"/>
      <c r="M124" s="442"/>
      <c r="N124" s="442"/>
      <c r="O124" s="442"/>
      <c r="P124" s="442"/>
      <c r="Q124" s="442"/>
      <c r="R124" s="442"/>
      <c r="S124" s="442"/>
    </row>
  </sheetData>
  <sheetProtection formatColumns="0" formatRows="0" insertHyperlinks="0"/>
  <mergeCells count="20">
    <mergeCell ref="D111:L111"/>
    <mergeCell ref="D120:K120"/>
    <mergeCell ref="D122:K122"/>
    <mergeCell ref="U5:U6"/>
    <mergeCell ref="V5:V7"/>
    <mergeCell ref="G5:J5"/>
    <mergeCell ref="Y5:Y6"/>
    <mergeCell ref="Z5:Z6"/>
    <mergeCell ref="AA5:AA7"/>
    <mergeCell ref="D110:L110"/>
    <mergeCell ref="C2:T2"/>
    <mergeCell ref="C5:C7"/>
    <mergeCell ref="D5:D7"/>
    <mergeCell ref="E5:E7"/>
    <mergeCell ref="F5:F7"/>
    <mergeCell ref="K5:K6"/>
    <mergeCell ref="L5:L6"/>
    <mergeCell ref="M5:M6"/>
    <mergeCell ref="N5:S5"/>
    <mergeCell ref="T5:T6"/>
  </mergeCells>
  <hyperlinks>
    <hyperlink ref="C1" location="'Перечень форм для заполнения'!A1" display="Вернуться к перечню форм"/>
    <hyperlink ref="E19" location="'7 (сырье и материалы)'!A1" display="Добавить документ"/>
    <hyperlink ref="D24" location="'7 (сырье и материалы)'!A1" display="Добавить группу затрат"/>
    <hyperlink ref="E23" location="'7 (сырье и материалы)'!A1" display="Добавить документ"/>
    <hyperlink ref="E29" location="'7 (сырье и материалы)'!A1" display="Добавить документ"/>
    <hyperlink ref="E33" location="'7 (сырье и материалы)'!A1" display="Добавить документ"/>
    <hyperlink ref="E39" location="'7 (сырье и материалы)'!A1" display="Добавить документ"/>
    <hyperlink ref="E43" location="'7 (сырье и материалы)'!A1" display="Добавить документ"/>
    <hyperlink ref="E49" location="'7 (сырье и материалы)'!A1" display="Добавить документ"/>
    <hyperlink ref="E53" location="'7 (сырье и материалы)'!A1" display="Добавить документ"/>
    <hyperlink ref="E60" location="'7 (сырье и материалы)'!A1" display="Добавить документ"/>
    <hyperlink ref="E64" location="'7 (сырье и материалы)'!A1" display="Добавить документ"/>
    <hyperlink ref="E70" location="'7 (сырье и материалы)'!A1" display="Добавить документ"/>
    <hyperlink ref="E74" location="'7 (сырье и материалы)'!A1" display="Добавить документ"/>
    <hyperlink ref="E81" location="'7 (сырье и материалы)'!A1" display="Добавить документ"/>
    <hyperlink ref="E85" location="'7 (сырье и материалы)'!A1" display="Добавить документ"/>
    <hyperlink ref="E91" location="'7 (сырье и материалы)'!A1" display="Добавить документ"/>
    <hyperlink ref="E95" location="'7 (сырье и материалы)'!A1" display="Добавить документ"/>
    <hyperlink ref="E101" location="'7 (сырье и материалы)'!A1" display="Добавить документ"/>
    <hyperlink ref="E105" location="'7 (сырье и материалы)'!A1" display="Добавить документ"/>
    <hyperlink ref="D34" location="'7 (сырье и материалы)'!A1" display="Добавить группу затрат"/>
    <hyperlink ref="D44" location="'7 (сырье и материалы)'!A1" display="Добавить группу затрат"/>
    <hyperlink ref="D54" location="'7 (сырье и материалы)'!A1" display="Добавить группу затрат"/>
    <hyperlink ref="D65" location="'7 (сырье и материалы)'!A1" display="Добавить группу затрат"/>
    <hyperlink ref="D75" location="'7 (сырье и материалы)'!A1" display="Добавить группу затрат"/>
    <hyperlink ref="D86" location="'7 (сырье и материалы)'!A1" display="Добавить группу затрат"/>
    <hyperlink ref="D96" location="'7 (сырье и материалы)'!A1" display="Добавить группу затрат"/>
    <hyperlink ref="D106" location="'7 (сырье и материалы)'!A1" display="Добавить группу затрат"/>
  </hyperlinks>
  <pageMargins left="0.70866141732283472" right="0.23" top="0.74803149606299213" bottom="0.74803149606299213" header="0.31496062992125984" footer="0.31496062992125984"/>
  <pageSetup paperSize="9" scale="3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92D050"/>
    <outlinePr summaryBelow="0" summaryRight="0"/>
    <pageSetUpPr fitToPage="1"/>
  </sheetPr>
  <dimension ref="B1:U88"/>
  <sheetViews>
    <sheetView showGridLines="0" zoomScale="70" zoomScaleNormal="70" zoomScaleSheetLayoutView="70" workbookViewId="0">
      <pane xSplit="5" topLeftCell="F1" activePane="topRight" state="frozen"/>
      <selection pane="topRight" activeCell="X9" sqref="X9"/>
    </sheetView>
  </sheetViews>
  <sheetFormatPr defaultColWidth="8.7109375" defaultRowHeight="12.75" outlineLevelRow="2" outlineLevelCol="1"/>
  <cols>
    <col min="1" max="1" width="3.7109375" style="233" customWidth="1"/>
    <col min="2" max="2" width="3.7109375" style="233" hidden="1" customWidth="1"/>
    <col min="3" max="3" width="9.7109375" style="453" bestFit="1" customWidth="1"/>
    <col min="4" max="4" width="36.7109375" style="233" customWidth="1"/>
    <col min="5" max="5" width="28.7109375" style="233" customWidth="1"/>
    <col min="6" max="6" width="14.85546875" style="233" customWidth="1"/>
    <col min="7" max="11" width="18.7109375" style="233" customWidth="1"/>
    <col min="12" max="12" width="23.140625" style="233" customWidth="1"/>
    <col min="13" max="13" width="18.7109375" style="233" customWidth="1"/>
    <col min="14" max="14" width="22" style="233" customWidth="1"/>
    <col min="15" max="15" width="14.7109375" style="233" customWidth="1"/>
    <col min="16" max="16" width="17.85546875" style="233" customWidth="1"/>
    <col min="17" max="17" width="17.28515625" style="391" customWidth="1" collapsed="1"/>
    <col min="18" max="18" width="2.42578125" style="212" hidden="1" customWidth="1" outlineLevel="1"/>
    <col min="19" max="19" width="18.7109375" style="233" hidden="1" customWidth="1" outlineLevel="1"/>
    <col min="20" max="20" width="17.85546875" style="233" hidden="1" customWidth="1" outlineLevel="1"/>
    <col min="21" max="21" width="17.28515625" style="391" hidden="1" customWidth="1" outlineLevel="1"/>
    <col min="22" max="16384" width="8.7109375" style="233"/>
  </cols>
  <sheetData>
    <row r="1" spans="2:21">
      <c r="C1" s="210" t="s">
        <v>210</v>
      </c>
    </row>
    <row r="2" spans="2:21" ht="18.75">
      <c r="C2" s="450"/>
    </row>
    <row r="3" spans="2:21" ht="18.75">
      <c r="C3" s="450"/>
    </row>
    <row r="4" spans="2:21" ht="39" customHeight="1">
      <c r="C4" s="2322" t="s">
        <v>504</v>
      </c>
      <c r="D4" s="2322"/>
      <c r="E4" s="2322"/>
      <c r="F4" s="2322"/>
      <c r="G4" s="2322"/>
      <c r="H4" s="2322"/>
      <c r="I4" s="2322"/>
      <c r="J4" s="2322"/>
      <c r="K4" s="2322"/>
      <c r="L4" s="2322"/>
      <c r="M4" s="2322"/>
      <c r="N4" s="2322"/>
      <c r="O4" s="2322"/>
      <c r="P4" s="2322"/>
      <c r="Q4" s="2322"/>
      <c r="U4" s="233"/>
    </row>
    <row r="5" spans="2:21" ht="15.75">
      <c r="C5" s="451"/>
      <c r="D5" s="452"/>
      <c r="E5" s="452"/>
      <c r="F5" s="452"/>
      <c r="G5" s="452"/>
      <c r="H5" s="452"/>
      <c r="I5" s="452"/>
      <c r="J5" s="452"/>
      <c r="K5" s="452"/>
      <c r="L5" s="452"/>
      <c r="M5" s="452"/>
      <c r="N5" s="452"/>
      <c r="O5" s="452"/>
      <c r="P5" s="452"/>
      <c r="Q5" s="451"/>
      <c r="S5" s="452"/>
      <c r="T5" s="452"/>
      <c r="U5" s="451"/>
    </row>
    <row r="6" spans="2:21" ht="15.75" customHeight="1">
      <c r="D6" s="396"/>
      <c r="E6" s="396"/>
      <c r="F6" s="396"/>
      <c r="G6" s="396"/>
      <c r="H6" s="396"/>
      <c r="I6" s="396"/>
      <c r="J6" s="396"/>
      <c r="K6" s="396"/>
      <c r="L6" s="396"/>
      <c r="M6" s="396"/>
      <c r="N6" s="396"/>
      <c r="Q6" s="454"/>
      <c r="S6" s="396"/>
      <c r="U6" s="454"/>
    </row>
    <row r="7" spans="2:21" ht="33.6" customHeight="1">
      <c r="C7" s="2323" t="s">
        <v>12</v>
      </c>
      <c r="D7" s="2303" t="s">
        <v>505</v>
      </c>
      <c r="E7" s="2303" t="s">
        <v>506</v>
      </c>
      <c r="F7" s="2301" t="str">
        <f>"ТБР, "&amp;'0. Анкета'!C15-2&amp;" год"</f>
        <v>ТБР, 2022 год</v>
      </c>
      <c r="G7" s="2301" t="str">
        <f>"Факт, "&amp;'0. Анкета'!C15-2&amp;" год (отражен в отчете об исполнении сметы расходов)"</f>
        <v>Факт, 2022 год (отражен в отчете об исполнении сметы расходов)</v>
      </c>
      <c r="H7" s="2301" t="str">
        <f>"Факт, "&amp;'0. Анкета'!C15-2&amp;" год (подтвержденный первичными документами (договоры/акты и пр.))"</f>
        <v>Факт, 2022 год (подтвержденный первичными документами (договоры/акты и пр.))</v>
      </c>
      <c r="I7" s="2312" t="str">
        <f>"Факт, "&amp;'0. Анкета'!C15-2&amp;" год (подтвержденный  бухгалтерскими документами (оборотно-сальдовые ведомости, карточки счетов))"</f>
        <v>Факт, 2022 год (подтвержденный  бухгалтерскими документами (оборотно-сальдовые ведомости, карточки счетов))</v>
      </c>
      <c r="J7" s="2313"/>
      <c r="K7" s="2313"/>
      <c r="L7" s="2313"/>
      <c r="M7" s="2313"/>
      <c r="N7" s="2314"/>
      <c r="O7" s="2301" t="str">
        <f>"ТБР, "&amp;'0. Анкета'!C15-1&amp;" год"</f>
        <v>ТБР, 2023 год</v>
      </c>
      <c r="P7" s="2317" t="str">
        <f>'0. Анкета'!C15&amp;",  предложение ТСО"</f>
        <v>2024,  предложение ТСО</v>
      </c>
      <c r="Q7" s="2303" t="s">
        <v>507</v>
      </c>
      <c r="S7" s="2301" t="str">
        <f>'0. Анкета'!C15-2&amp;",  факт регулятора"</f>
        <v>2022,  факт регулятора</v>
      </c>
      <c r="T7" s="2301" t="str">
        <f>'0. Анкета'!C15&amp;",  Версия регулятора"</f>
        <v>2024,  Версия регулятора</v>
      </c>
      <c r="U7" s="2303" t="s">
        <v>507</v>
      </c>
    </row>
    <row r="8" spans="2:21" ht="30.75" customHeight="1">
      <c r="C8" s="2324"/>
      <c r="D8" s="2304"/>
      <c r="E8" s="2304"/>
      <c r="F8" s="2311"/>
      <c r="G8" s="2311"/>
      <c r="H8" s="2311"/>
      <c r="I8" s="2301" t="s">
        <v>172</v>
      </c>
      <c r="J8" s="2301" t="s">
        <v>413</v>
      </c>
      <c r="K8" s="2301" t="s">
        <v>414</v>
      </c>
      <c r="L8" s="2301" t="s">
        <v>415</v>
      </c>
      <c r="M8" s="2301" t="s">
        <v>416</v>
      </c>
      <c r="N8" s="2301" t="s">
        <v>415</v>
      </c>
      <c r="O8" s="2311"/>
      <c r="P8" s="2318"/>
      <c r="Q8" s="2304"/>
      <c r="S8" s="2311"/>
      <c r="T8" s="2311"/>
      <c r="U8" s="2304"/>
    </row>
    <row r="9" spans="2:21" ht="51.6" customHeight="1">
      <c r="C9" s="2324"/>
      <c r="D9" s="2304"/>
      <c r="E9" s="2304"/>
      <c r="F9" s="2302"/>
      <c r="G9" s="2302"/>
      <c r="H9" s="2302"/>
      <c r="I9" s="2302"/>
      <c r="J9" s="2302"/>
      <c r="K9" s="2302"/>
      <c r="L9" s="2302"/>
      <c r="M9" s="2302"/>
      <c r="N9" s="2302"/>
      <c r="O9" s="2302"/>
      <c r="P9" s="2318"/>
      <c r="Q9" s="2304"/>
      <c r="S9" s="2302"/>
      <c r="T9" s="2302"/>
      <c r="U9" s="2304"/>
    </row>
    <row r="10" spans="2:21">
      <c r="C10" s="2325"/>
      <c r="D10" s="2305"/>
      <c r="E10" s="2305"/>
      <c r="F10" s="398" t="s">
        <v>226</v>
      </c>
      <c r="G10" s="398" t="s">
        <v>226</v>
      </c>
      <c r="H10" s="398" t="s">
        <v>226</v>
      </c>
      <c r="I10" s="398" t="s">
        <v>226</v>
      </c>
      <c r="J10" s="398" t="s">
        <v>226</v>
      </c>
      <c r="K10" s="398" t="s">
        <v>226</v>
      </c>
      <c r="L10" s="398" t="s">
        <v>268</v>
      </c>
      <c r="M10" s="398" t="s">
        <v>226</v>
      </c>
      <c r="N10" s="398" t="s">
        <v>268</v>
      </c>
      <c r="O10" s="398" t="s">
        <v>226</v>
      </c>
      <c r="P10" s="398" t="s">
        <v>226</v>
      </c>
      <c r="Q10" s="2305"/>
      <c r="S10" s="398" t="s">
        <v>226</v>
      </c>
      <c r="T10" s="398" t="s">
        <v>226</v>
      </c>
      <c r="U10" s="2305"/>
    </row>
    <row r="11" spans="2:21">
      <c r="C11" s="455">
        <v>1</v>
      </c>
      <c r="D11" s="399">
        <f>C11+1</f>
        <v>2</v>
      </c>
      <c r="E11" s="399">
        <f t="shared" ref="E11:U11" si="0">D11+1</f>
        <v>3</v>
      </c>
      <c r="F11" s="399">
        <f t="shared" si="0"/>
        <v>4</v>
      </c>
      <c r="G11" s="399">
        <f>F11+1</f>
        <v>5</v>
      </c>
      <c r="H11" s="399">
        <f t="shared" si="0"/>
        <v>6</v>
      </c>
      <c r="I11" s="399">
        <f t="shared" si="0"/>
        <v>7</v>
      </c>
      <c r="J11" s="399">
        <f t="shared" si="0"/>
        <v>8</v>
      </c>
      <c r="K11" s="399">
        <f t="shared" si="0"/>
        <v>9</v>
      </c>
      <c r="L11" s="399">
        <v>10</v>
      </c>
      <c r="M11" s="399">
        <v>11</v>
      </c>
      <c r="N11" s="399">
        <v>12</v>
      </c>
      <c r="O11" s="399">
        <f t="shared" si="0"/>
        <v>13</v>
      </c>
      <c r="P11" s="401">
        <f t="shared" si="0"/>
        <v>14</v>
      </c>
      <c r="Q11" s="399">
        <f t="shared" si="0"/>
        <v>15</v>
      </c>
      <c r="S11" s="399">
        <f>Q11+1</f>
        <v>16</v>
      </c>
      <c r="T11" s="401">
        <f t="shared" si="0"/>
        <v>17</v>
      </c>
      <c r="U11" s="399">
        <f t="shared" si="0"/>
        <v>18</v>
      </c>
    </row>
    <row r="12" spans="2:21" ht="25.5">
      <c r="C12" s="456" t="s">
        <v>508</v>
      </c>
      <c r="D12" s="457" t="s">
        <v>509</v>
      </c>
      <c r="E12" s="458"/>
      <c r="F12" s="459"/>
      <c r="G12" s="460">
        <f>SUBTOTAL(9,G13:G42)</f>
        <v>0</v>
      </c>
      <c r="H12" s="460">
        <f>SUBTOTAL(9,H13:H42)</f>
        <v>0</v>
      </c>
      <c r="I12" s="460">
        <f>SUM(I13,I23,I33)</f>
        <v>0</v>
      </c>
      <c r="J12" s="460">
        <f>SUM(J13,J23,J33)</f>
        <v>0</v>
      </c>
      <c r="K12" s="460">
        <f>SUM(K13,K23,K33)</f>
        <v>0</v>
      </c>
      <c r="L12" s="405"/>
      <c r="M12" s="460">
        <f>SUM(M13,M23,M33)</f>
        <v>0</v>
      </c>
      <c r="N12" s="405"/>
      <c r="O12" s="459"/>
      <c r="P12" s="460">
        <f>SUBTOTAL(9,P13:P42)</f>
        <v>0</v>
      </c>
      <c r="Q12" s="413"/>
      <c r="S12" s="460">
        <f>SUBTOTAL(9,S13:S42)</f>
        <v>0</v>
      </c>
      <c r="T12" s="460">
        <f>SUBTOTAL(9,T13:T42)</f>
        <v>0</v>
      </c>
      <c r="U12" s="413"/>
    </row>
    <row r="13" spans="2:21" ht="25.5" outlineLevel="1">
      <c r="C13" s="461" t="s">
        <v>267</v>
      </c>
      <c r="D13" s="462" t="s">
        <v>510</v>
      </c>
      <c r="E13" s="458"/>
      <c r="F13" s="463"/>
      <c r="G13" s="464">
        <f>SUBTOTAL(9,G14:G22)</f>
        <v>0</v>
      </c>
      <c r="H13" s="464">
        <f>SUBTOTAL(9,H14:H22)</f>
        <v>0</v>
      </c>
      <c r="I13" s="464">
        <f>SUM(J13:K13)+M13</f>
        <v>0</v>
      </c>
      <c r="J13" s="463"/>
      <c r="K13" s="463"/>
      <c r="L13" s="412"/>
      <c r="M13" s="463"/>
      <c r="N13" s="412"/>
      <c r="O13" s="463"/>
      <c r="P13" s="464">
        <f>SUBTOTAL(9,P14:P22)</f>
        <v>0</v>
      </c>
      <c r="Q13" s="413"/>
      <c r="S13" s="464">
        <f>SUBTOTAL(9,S14:S22)</f>
        <v>0</v>
      </c>
      <c r="T13" s="464">
        <f>SUBTOTAL(9,T14:T22)</f>
        <v>0</v>
      </c>
      <c r="U13" s="413"/>
    </row>
    <row r="14" spans="2:21" outlineLevel="2">
      <c r="B14" s="233">
        <v>1</v>
      </c>
      <c r="C14" s="407" t="str">
        <f>CONCATENATE(C$13,B14)</f>
        <v>1.1.1</v>
      </c>
      <c r="D14" s="414" t="s">
        <v>421</v>
      </c>
      <c r="E14" s="415"/>
      <c r="F14" s="465"/>
      <c r="G14" s="464">
        <f>SUBTOTAL(9,G15:G17)</f>
        <v>0</v>
      </c>
      <c r="H14" s="464">
        <f>SUBTOTAL(9,H15:H17)</f>
        <v>0</v>
      </c>
      <c r="I14" s="465"/>
      <c r="J14" s="465"/>
      <c r="K14" s="465"/>
      <c r="L14" s="417"/>
      <c r="M14" s="465"/>
      <c r="N14" s="417"/>
      <c r="O14" s="465"/>
      <c r="P14" s="464">
        <f>SUBTOTAL(9,P15:P17)</f>
        <v>0</v>
      </c>
      <c r="Q14" s="413"/>
      <c r="R14" s="212" t="s">
        <v>422</v>
      </c>
      <c r="S14" s="464">
        <f>SUBTOTAL(9,S15:S17)</f>
        <v>0</v>
      </c>
      <c r="T14" s="464">
        <f>SUBTOTAL(9,T15:T17)</f>
        <v>0</v>
      </c>
      <c r="U14" s="413"/>
    </row>
    <row r="15" spans="2:21" outlineLevel="2">
      <c r="C15" s="466"/>
      <c r="D15" s="467"/>
      <c r="E15" s="415" t="s">
        <v>511</v>
      </c>
      <c r="F15" s="465"/>
      <c r="G15" s="463"/>
      <c r="H15" s="463"/>
      <c r="I15" s="465"/>
      <c r="J15" s="465"/>
      <c r="K15" s="465"/>
      <c r="L15" s="417"/>
      <c r="M15" s="465"/>
      <c r="N15" s="417"/>
      <c r="O15" s="465"/>
      <c r="P15" s="463"/>
      <c r="Q15" s="415"/>
      <c r="S15" s="463"/>
      <c r="T15" s="463"/>
      <c r="U15" s="413"/>
    </row>
    <row r="16" spans="2:21" outlineLevel="2">
      <c r="C16" s="466"/>
      <c r="D16" s="467"/>
      <c r="E16" s="415" t="s">
        <v>512</v>
      </c>
      <c r="F16" s="465"/>
      <c r="G16" s="463"/>
      <c r="H16" s="463"/>
      <c r="I16" s="465"/>
      <c r="J16" s="465"/>
      <c r="K16" s="465"/>
      <c r="L16" s="417"/>
      <c r="M16" s="465"/>
      <c r="N16" s="417"/>
      <c r="O16" s="465"/>
      <c r="P16" s="463"/>
      <c r="Q16" s="413"/>
      <c r="S16" s="463"/>
      <c r="T16" s="463"/>
      <c r="U16" s="413"/>
    </row>
    <row r="17" spans="2:21" ht="14.25" outlineLevel="2">
      <c r="C17" s="468"/>
      <c r="D17" s="423"/>
      <c r="E17" s="422" t="s">
        <v>430</v>
      </c>
      <c r="F17" s="469"/>
      <c r="G17" s="469"/>
      <c r="H17" s="469"/>
      <c r="I17" s="469"/>
      <c r="J17" s="469"/>
      <c r="K17" s="469"/>
      <c r="L17" s="428"/>
      <c r="M17" s="469"/>
      <c r="N17" s="428"/>
      <c r="O17" s="469"/>
      <c r="P17" s="469"/>
      <c r="Q17" s="420"/>
      <c r="S17" s="469"/>
      <c r="T17" s="469"/>
      <c r="U17" s="420"/>
    </row>
    <row r="18" spans="2:21" outlineLevel="2">
      <c r="B18" s="233">
        <f>B14+1</f>
        <v>2</v>
      </c>
      <c r="C18" s="407" t="str">
        <f>CONCATENATE(C$13,B18)</f>
        <v>1.1.2</v>
      </c>
      <c r="D18" s="470" t="s">
        <v>431</v>
      </c>
      <c r="E18" s="415"/>
      <c r="F18" s="465"/>
      <c r="G18" s="464">
        <f>SUBTOTAL(9,G19:G21)</f>
        <v>0</v>
      </c>
      <c r="H18" s="464">
        <f>SUBTOTAL(9,H19:H21)</f>
        <v>0</v>
      </c>
      <c r="I18" s="471"/>
      <c r="J18" s="471"/>
      <c r="K18" s="471"/>
      <c r="L18" s="472"/>
      <c r="M18" s="471"/>
      <c r="N18" s="472"/>
      <c r="O18" s="471"/>
      <c r="P18" s="464">
        <f>SUBTOTAL(9,P19:P21)</f>
        <v>0</v>
      </c>
      <c r="Q18" s="413"/>
      <c r="R18" s="212" t="s">
        <v>422</v>
      </c>
      <c r="S18" s="464">
        <f>SUBTOTAL(9,S19:S21)</f>
        <v>0</v>
      </c>
      <c r="T18" s="464">
        <f>SUBTOTAL(9,T19:T21)</f>
        <v>0</v>
      </c>
      <c r="U18" s="413"/>
    </row>
    <row r="19" spans="2:21" outlineLevel="2">
      <c r="C19" s="466"/>
      <c r="D19" s="467"/>
      <c r="E19" s="415" t="s">
        <v>513</v>
      </c>
      <c r="F19" s="465"/>
      <c r="G19" s="463"/>
      <c r="H19" s="463"/>
      <c r="I19" s="471"/>
      <c r="J19" s="471"/>
      <c r="K19" s="471"/>
      <c r="L19" s="472"/>
      <c r="M19" s="471"/>
      <c r="N19" s="472"/>
      <c r="O19" s="471"/>
      <c r="P19" s="463"/>
      <c r="Q19" s="413"/>
      <c r="S19" s="463"/>
      <c r="T19" s="463"/>
      <c r="U19" s="413"/>
    </row>
    <row r="20" spans="2:21" outlineLevel="2">
      <c r="C20" s="466"/>
      <c r="D20" s="467"/>
      <c r="E20" s="415" t="s">
        <v>438</v>
      </c>
      <c r="F20" s="465"/>
      <c r="G20" s="463"/>
      <c r="H20" s="463"/>
      <c r="I20" s="471"/>
      <c r="J20" s="471"/>
      <c r="K20" s="471"/>
      <c r="L20" s="472"/>
      <c r="M20" s="471"/>
      <c r="N20" s="472"/>
      <c r="O20" s="471"/>
      <c r="P20" s="463"/>
      <c r="Q20" s="413"/>
      <c r="S20" s="463"/>
      <c r="T20" s="463"/>
      <c r="U20" s="413"/>
    </row>
    <row r="21" spans="2:21" ht="14.25" outlineLevel="2">
      <c r="C21" s="468"/>
      <c r="D21" s="423"/>
      <c r="E21" s="422" t="s">
        <v>430</v>
      </c>
      <c r="F21" s="469"/>
      <c r="G21" s="469"/>
      <c r="H21" s="469"/>
      <c r="I21" s="469"/>
      <c r="J21" s="469"/>
      <c r="K21" s="469"/>
      <c r="L21" s="428"/>
      <c r="M21" s="469"/>
      <c r="N21" s="428"/>
      <c r="O21" s="469"/>
      <c r="P21" s="469"/>
      <c r="Q21" s="420"/>
      <c r="S21" s="469"/>
      <c r="T21" s="469"/>
      <c r="U21" s="420"/>
    </row>
    <row r="22" spans="2:21" ht="14.25" outlineLevel="2">
      <c r="C22" s="468"/>
      <c r="D22" s="473" t="s">
        <v>434</v>
      </c>
      <c r="E22" s="427"/>
      <c r="F22" s="469"/>
      <c r="G22" s="469"/>
      <c r="H22" s="469"/>
      <c r="I22" s="469"/>
      <c r="J22" s="469"/>
      <c r="K22" s="469"/>
      <c r="L22" s="428"/>
      <c r="M22" s="469"/>
      <c r="N22" s="428"/>
      <c r="O22" s="469"/>
      <c r="P22" s="469"/>
      <c r="Q22" s="420"/>
      <c r="S22" s="469"/>
      <c r="T22" s="469"/>
      <c r="U22" s="420"/>
    </row>
    <row r="23" spans="2:21" outlineLevel="2">
      <c r="C23" s="456" t="s">
        <v>269</v>
      </c>
      <c r="D23" s="462" t="s">
        <v>514</v>
      </c>
      <c r="E23" s="458"/>
      <c r="F23" s="463"/>
      <c r="G23" s="464">
        <f>SUBTOTAL(9,G24:G32)</f>
        <v>0</v>
      </c>
      <c r="H23" s="464">
        <f>SUBTOTAL(9,H24:H32)</f>
        <v>0</v>
      </c>
      <c r="I23" s="464">
        <f>SUM(J23:K23)+M23</f>
        <v>0</v>
      </c>
      <c r="J23" s="463"/>
      <c r="K23" s="463"/>
      <c r="L23" s="412"/>
      <c r="M23" s="463"/>
      <c r="N23" s="412"/>
      <c r="O23" s="463"/>
      <c r="P23" s="464">
        <f>SUBTOTAL(9,P24:P32)</f>
        <v>0</v>
      </c>
      <c r="Q23" s="413"/>
      <c r="S23" s="464">
        <f>SUBTOTAL(9,S24:S32)</f>
        <v>0</v>
      </c>
      <c r="T23" s="464">
        <f>SUBTOTAL(9,T24:T32)</f>
        <v>0</v>
      </c>
      <c r="U23" s="413"/>
    </row>
    <row r="24" spans="2:21" outlineLevel="2">
      <c r="B24" s="233">
        <v>1</v>
      </c>
      <c r="C24" s="466" t="str">
        <f>CONCATENATE(C$23,B24)</f>
        <v>1.2.1</v>
      </c>
      <c r="D24" s="470" t="s">
        <v>436</v>
      </c>
      <c r="E24" s="415"/>
      <c r="F24" s="465"/>
      <c r="G24" s="464">
        <f>SUBTOTAL(9,G25:G27)</f>
        <v>0</v>
      </c>
      <c r="H24" s="464">
        <f>SUBTOTAL(9,H25:H27)</f>
        <v>0</v>
      </c>
      <c r="I24" s="465"/>
      <c r="J24" s="465"/>
      <c r="K24" s="465"/>
      <c r="L24" s="417"/>
      <c r="M24" s="465"/>
      <c r="N24" s="417"/>
      <c r="O24" s="465"/>
      <c r="P24" s="464">
        <f>SUBTOTAL(9,P25:P27)</f>
        <v>0</v>
      </c>
      <c r="Q24" s="413"/>
      <c r="R24" s="212" t="s">
        <v>422</v>
      </c>
      <c r="S24" s="464">
        <f>SUBTOTAL(9,S25:S27)</f>
        <v>0</v>
      </c>
      <c r="T24" s="464">
        <f>SUBTOTAL(9,T25:T27)</f>
        <v>0</v>
      </c>
      <c r="U24" s="413"/>
    </row>
    <row r="25" spans="2:21" outlineLevel="2">
      <c r="C25" s="466"/>
      <c r="D25" s="467"/>
      <c r="E25" s="415" t="s">
        <v>513</v>
      </c>
      <c r="F25" s="465"/>
      <c r="G25" s="463"/>
      <c r="H25" s="463"/>
      <c r="I25" s="465"/>
      <c r="J25" s="465"/>
      <c r="K25" s="465"/>
      <c r="L25" s="417"/>
      <c r="M25" s="465"/>
      <c r="N25" s="417"/>
      <c r="O25" s="465"/>
      <c r="P25" s="463"/>
      <c r="Q25" s="413"/>
      <c r="S25" s="463"/>
      <c r="T25" s="463"/>
      <c r="U25" s="413"/>
    </row>
    <row r="26" spans="2:21" outlineLevel="2">
      <c r="C26" s="466"/>
      <c r="D26" s="467"/>
      <c r="E26" s="415" t="s">
        <v>438</v>
      </c>
      <c r="F26" s="465"/>
      <c r="G26" s="463"/>
      <c r="H26" s="463"/>
      <c r="I26" s="465"/>
      <c r="J26" s="465"/>
      <c r="K26" s="465"/>
      <c r="L26" s="417"/>
      <c r="M26" s="465"/>
      <c r="N26" s="417"/>
      <c r="O26" s="465"/>
      <c r="P26" s="463"/>
      <c r="Q26" s="413"/>
      <c r="S26" s="463"/>
      <c r="T26" s="463"/>
      <c r="U26" s="413"/>
    </row>
    <row r="27" spans="2:21" ht="14.25" outlineLevel="2">
      <c r="C27" s="468"/>
      <c r="D27" s="423"/>
      <c r="E27" s="422" t="s">
        <v>430</v>
      </c>
      <c r="F27" s="469"/>
      <c r="G27" s="469"/>
      <c r="H27" s="469"/>
      <c r="I27" s="469"/>
      <c r="J27" s="469"/>
      <c r="K27" s="469"/>
      <c r="L27" s="428"/>
      <c r="M27" s="469"/>
      <c r="N27" s="428"/>
      <c r="O27" s="469"/>
      <c r="P27" s="469"/>
      <c r="Q27" s="420"/>
      <c r="S27" s="469"/>
      <c r="T27" s="469"/>
      <c r="U27" s="420"/>
    </row>
    <row r="28" spans="2:21" outlineLevel="2">
      <c r="B28" s="233">
        <f>B24+1</f>
        <v>2</v>
      </c>
      <c r="C28" s="466" t="str">
        <f>CONCATENATE(C$23,B28)</f>
        <v>1.2.2</v>
      </c>
      <c r="D28" s="470" t="s">
        <v>439</v>
      </c>
      <c r="E28" s="415"/>
      <c r="F28" s="465"/>
      <c r="G28" s="464">
        <f>SUBTOTAL(9,G29:G31)</f>
        <v>0</v>
      </c>
      <c r="H28" s="464">
        <f>SUBTOTAL(9,H29:H31)</f>
        <v>0</v>
      </c>
      <c r="I28" s="471"/>
      <c r="J28" s="471"/>
      <c r="K28" s="471"/>
      <c r="L28" s="472"/>
      <c r="M28" s="471"/>
      <c r="N28" s="472"/>
      <c r="O28" s="471"/>
      <c r="P28" s="464">
        <f>SUBTOTAL(9,P29:P31)</f>
        <v>0</v>
      </c>
      <c r="Q28" s="413"/>
      <c r="R28" s="212" t="s">
        <v>422</v>
      </c>
      <c r="S28" s="464">
        <f>SUBTOTAL(9,S29:S31)</f>
        <v>0</v>
      </c>
      <c r="T28" s="464">
        <f>SUBTOTAL(9,T29:T31)</f>
        <v>0</v>
      </c>
      <c r="U28" s="413"/>
    </row>
    <row r="29" spans="2:21" outlineLevel="2">
      <c r="C29" s="466"/>
      <c r="D29" s="467"/>
      <c r="E29" s="415" t="s">
        <v>440</v>
      </c>
      <c r="F29" s="465"/>
      <c r="G29" s="463"/>
      <c r="H29" s="463"/>
      <c r="I29" s="471"/>
      <c r="J29" s="471"/>
      <c r="K29" s="471"/>
      <c r="L29" s="472"/>
      <c r="M29" s="471"/>
      <c r="N29" s="472"/>
      <c r="O29" s="471"/>
      <c r="P29" s="463"/>
      <c r="Q29" s="413"/>
      <c r="S29" s="463"/>
      <c r="T29" s="463"/>
      <c r="U29" s="413"/>
    </row>
    <row r="30" spans="2:21" outlineLevel="2">
      <c r="C30" s="466"/>
      <c r="D30" s="467"/>
      <c r="E30" s="415" t="s">
        <v>441</v>
      </c>
      <c r="F30" s="465"/>
      <c r="G30" s="463"/>
      <c r="H30" s="463"/>
      <c r="I30" s="471"/>
      <c r="J30" s="471"/>
      <c r="K30" s="471"/>
      <c r="L30" s="472"/>
      <c r="M30" s="471"/>
      <c r="N30" s="472"/>
      <c r="O30" s="471"/>
      <c r="P30" s="463"/>
      <c r="Q30" s="413"/>
      <c r="S30" s="463"/>
      <c r="T30" s="463"/>
      <c r="U30" s="413"/>
    </row>
    <row r="31" spans="2:21" ht="14.25" outlineLevel="2">
      <c r="C31" s="468"/>
      <c r="D31" s="423"/>
      <c r="E31" s="422" t="s">
        <v>430</v>
      </c>
      <c r="F31" s="469"/>
      <c r="G31" s="469"/>
      <c r="H31" s="469"/>
      <c r="I31" s="469"/>
      <c r="J31" s="469"/>
      <c r="K31" s="469"/>
      <c r="L31" s="428"/>
      <c r="M31" s="469"/>
      <c r="N31" s="428"/>
      <c r="O31" s="469"/>
      <c r="P31" s="469"/>
      <c r="Q31" s="420"/>
      <c r="S31" s="469"/>
      <c r="T31" s="469"/>
      <c r="U31" s="420"/>
    </row>
    <row r="32" spans="2:21" ht="14.25" outlineLevel="2">
      <c r="C32" s="468"/>
      <c r="D32" s="473" t="s">
        <v>434</v>
      </c>
      <c r="E32" s="427"/>
      <c r="F32" s="469"/>
      <c r="G32" s="469"/>
      <c r="H32" s="469"/>
      <c r="I32" s="469"/>
      <c r="J32" s="469"/>
      <c r="K32" s="469"/>
      <c r="L32" s="428"/>
      <c r="M32" s="469"/>
      <c r="N32" s="428"/>
      <c r="O32" s="469"/>
      <c r="P32" s="469"/>
      <c r="Q32" s="420"/>
      <c r="S32" s="469"/>
      <c r="T32" s="469"/>
      <c r="U32" s="420"/>
    </row>
    <row r="33" spans="2:21" ht="25.5" outlineLevel="1">
      <c r="C33" s="456" t="s">
        <v>270</v>
      </c>
      <c r="D33" s="462" t="s">
        <v>515</v>
      </c>
      <c r="E33" s="458"/>
      <c r="F33" s="463"/>
      <c r="G33" s="464">
        <f>SUBTOTAL(9,G34:G42)</f>
        <v>0</v>
      </c>
      <c r="H33" s="464">
        <f>SUBTOTAL(9,H34:H42)</f>
        <v>0</v>
      </c>
      <c r="I33" s="464">
        <f>SUM(J33:K33)+M33</f>
        <v>0</v>
      </c>
      <c r="J33" s="463"/>
      <c r="K33" s="463"/>
      <c r="L33" s="412"/>
      <c r="M33" s="463"/>
      <c r="N33" s="412"/>
      <c r="O33" s="463"/>
      <c r="P33" s="464">
        <f>SUBTOTAL(9,P34:P42)</f>
        <v>0</v>
      </c>
      <c r="Q33" s="413"/>
      <c r="S33" s="464">
        <f>SUBTOTAL(9,S34:S42)</f>
        <v>0</v>
      </c>
      <c r="T33" s="464">
        <f>SUBTOTAL(9,T34:T42)</f>
        <v>0</v>
      </c>
      <c r="U33" s="413"/>
    </row>
    <row r="34" spans="2:21" outlineLevel="2">
      <c r="B34" s="233">
        <v>1</v>
      </c>
      <c r="C34" s="466" t="str">
        <f>CONCATENATE(C$33,B34)</f>
        <v>1.3.1</v>
      </c>
      <c r="D34" s="470" t="s">
        <v>516</v>
      </c>
      <c r="E34" s="415"/>
      <c r="F34" s="465"/>
      <c r="G34" s="464">
        <f>SUBTOTAL(9,G35:G37)</f>
        <v>0</v>
      </c>
      <c r="H34" s="464">
        <f>SUBTOTAL(9,H35:H37)</f>
        <v>0</v>
      </c>
      <c r="I34" s="465"/>
      <c r="J34" s="465"/>
      <c r="K34" s="465"/>
      <c r="L34" s="417"/>
      <c r="M34" s="465"/>
      <c r="N34" s="417"/>
      <c r="O34" s="465"/>
      <c r="P34" s="464">
        <f>SUBTOTAL(9,P35:P37)</f>
        <v>0</v>
      </c>
      <c r="Q34" s="413"/>
      <c r="R34" s="212" t="s">
        <v>422</v>
      </c>
      <c r="S34" s="464">
        <f>SUBTOTAL(9,S35:S37)</f>
        <v>0</v>
      </c>
      <c r="T34" s="464">
        <f>SUBTOTAL(9,T35:T37)</f>
        <v>0</v>
      </c>
      <c r="U34" s="413"/>
    </row>
    <row r="35" spans="2:21" outlineLevel="2">
      <c r="C35" s="466"/>
      <c r="D35" s="467"/>
      <c r="E35" s="415" t="s">
        <v>517</v>
      </c>
      <c r="F35" s="465"/>
      <c r="G35" s="463"/>
      <c r="H35" s="463"/>
      <c r="I35" s="465"/>
      <c r="J35" s="465"/>
      <c r="K35" s="465"/>
      <c r="L35" s="417"/>
      <c r="M35" s="465"/>
      <c r="N35" s="417"/>
      <c r="O35" s="465"/>
      <c r="P35" s="463"/>
      <c r="Q35" s="413"/>
      <c r="S35" s="463"/>
      <c r="T35" s="463"/>
      <c r="U35" s="413"/>
    </row>
    <row r="36" spans="2:21" outlineLevel="2">
      <c r="C36" s="466"/>
      <c r="D36" s="467"/>
      <c r="E36" s="415" t="s">
        <v>444</v>
      </c>
      <c r="F36" s="465"/>
      <c r="G36" s="463"/>
      <c r="H36" s="463"/>
      <c r="I36" s="465"/>
      <c r="J36" s="465"/>
      <c r="K36" s="465"/>
      <c r="L36" s="417"/>
      <c r="M36" s="465"/>
      <c r="N36" s="417"/>
      <c r="O36" s="465"/>
      <c r="P36" s="463"/>
      <c r="Q36" s="413"/>
      <c r="S36" s="463"/>
      <c r="T36" s="463"/>
      <c r="U36" s="413"/>
    </row>
    <row r="37" spans="2:21" ht="14.25" outlineLevel="2">
      <c r="C37" s="468"/>
      <c r="D37" s="423"/>
      <c r="E37" s="422" t="s">
        <v>430</v>
      </c>
      <c r="F37" s="469"/>
      <c r="G37" s="469"/>
      <c r="H37" s="469"/>
      <c r="I37" s="469"/>
      <c r="J37" s="469"/>
      <c r="K37" s="469"/>
      <c r="L37" s="428"/>
      <c r="M37" s="469"/>
      <c r="N37" s="428"/>
      <c r="O37" s="469"/>
      <c r="P37" s="469"/>
      <c r="Q37" s="420"/>
      <c r="S37" s="469"/>
      <c r="T37" s="469"/>
      <c r="U37" s="420"/>
    </row>
    <row r="38" spans="2:21" outlineLevel="2">
      <c r="B38" s="233">
        <f>B34+1</f>
        <v>2</v>
      </c>
      <c r="C38" s="466" t="str">
        <f>CONCATENATE(C$33,B38)</f>
        <v>1.3.2</v>
      </c>
      <c r="D38" s="470" t="s">
        <v>518</v>
      </c>
      <c r="E38" s="415"/>
      <c r="F38" s="465"/>
      <c r="G38" s="464">
        <f>SUBTOTAL(9,G39:G41)</f>
        <v>0</v>
      </c>
      <c r="H38" s="464">
        <f>SUBTOTAL(9,H39:H41)</f>
        <v>0</v>
      </c>
      <c r="I38" s="471"/>
      <c r="J38" s="471"/>
      <c r="K38" s="471"/>
      <c r="L38" s="472"/>
      <c r="M38" s="471"/>
      <c r="N38" s="472"/>
      <c r="O38" s="471"/>
      <c r="P38" s="464">
        <f>SUBTOTAL(9,P39:P41)</f>
        <v>0</v>
      </c>
      <c r="Q38" s="413"/>
      <c r="R38" s="212" t="s">
        <v>422</v>
      </c>
      <c r="S38" s="464">
        <f>SUBTOTAL(9,S39:S41)</f>
        <v>0</v>
      </c>
      <c r="T38" s="464">
        <f>SUBTOTAL(9,T39:T41)</f>
        <v>0</v>
      </c>
      <c r="U38" s="413"/>
    </row>
    <row r="39" spans="2:21" outlineLevel="2">
      <c r="C39" s="466"/>
      <c r="D39" s="467"/>
      <c r="E39" s="415" t="s">
        <v>445</v>
      </c>
      <c r="F39" s="465"/>
      <c r="G39" s="463"/>
      <c r="H39" s="463"/>
      <c r="I39" s="471"/>
      <c r="J39" s="471"/>
      <c r="K39" s="471"/>
      <c r="L39" s="472"/>
      <c r="M39" s="471"/>
      <c r="N39" s="472"/>
      <c r="O39" s="471"/>
      <c r="P39" s="463"/>
      <c r="Q39" s="413"/>
      <c r="S39" s="463"/>
      <c r="T39" s="463"/>
      <c r="U39" s="413"/>
    </row>
    <row r="40" spans="2:21" outlineLevel="2">
      <c r="C40" s="466"/>
      <c r="D40" s="467"/>
      <c r="E40" s="415" t="s">
        <v>446</v>
      </c>
      <c r="F40" s="465"/>
      <c r="G40" s="463"/>
      <c r="H40" s="463"/>
      <c r="I40" s="471"/>
      <c r="J40" s="471"/>
      <c r="K40" s="471"/>
      <c r="L40" s="472"/>
      <c r="M40" s="471"/>
      <c r="N40" s="472"/>
      <c r="O40" s="471"/>
      <c r="P40" s="463"/>
      <c r="Q40" s="413"/>
      <c r="S40" s="463"/>
      <c r="T40" s="463"/>
      <c r="U40" s="413"/>
    </row>
    <row r="41" spans="2:21" ht="14.25" outlineLevel="2">
      <c r="C41" s="468"/>
      <c r="D41" s="427"/>
      <c r="E41" s="422" t="s">
        <v>430</v>
      </c>
      <c r="F41" s="469"/>
      <c r="G41" s="469"/>
      <c r="H41" s="469"/>
      <c r="I41" s="469"/>
      <c r="J41" s="469"/>
      <c r="K41" s="469"/>
      <c r="L41" s="428"/>
      <c r="M41" s="469"/>
      <c r="N41" s="428"/>
      <c r="O41" s="469"/>
      <c r="P41" s="469"/>
      <c r="Q41" s="420"/>
      <c r="S41" s="469"/>
      <c r="T41" s="469"/>
      <c r="U41" s="420"/>
    </row>
    <row r="42" spans="2:21" ht="14.25" outlineLevel="2">
      <c r="C42" s="468"/>
      <c r="D42" s="473" t="s">
        <v>434</v>
      </c>
      <c r="E42" s="427"/>
      <c r="F42" s="469"/>
      <c r="G42" s="469"/>
      <c r="H42" s="469"/>
      <c r="I42" s="469"/>
      <c r="J42" s="469"/>
      <c r="K42" s="469"/>
      <c r="L42" s="428"/>
      <c r="M42" s="469"/>
      <c r="N42" s="428"/>
      <c r="O42" s="469"/>
      <c r="P42" s="469"/>
      <c r="Q42" s="420"/>
      <c r="S42" s="469"/>
      <c r="T42" s="469"/>
      <c r="U42" s="420"/>
    </row>
    <row r="43" spans="2:21" ht="38.25">
      <c r="C43" s="456" t="s">
        <v>237</v>
      </c>
      <c r="D43" s="457" t="s">
        <v>519</v>
      </c>
      <c r="E43" s="458"/>
      <c r="F43" s="463"/>
      <c r="G43" s="460">
        <f>SUBTOTAL(9,G44:G68)</f>
        <v>0</v>
      </c>
      <c r="H43" s="460">
        <f>SUBTOTAL(9,H44:H68)</f>
        <v>0</v>
      </c>
      <c r="I43" s="460">
        <f>SUM(I44,I51,I58)</f>
        <v>0</v>
      </c>
      <c r="J43" s="460">
        <f>SUM(J44,J51,J58)</f>
        <v>0</v>
      </c>
      <c r="K43" s="460">
        <f>SUM(K44,K51,K58)</f>
        <v>0</v>
      </c>
      <c r="L43" s="405"/>
      <c r="M43" s="460">
        <f>SUM(M44,M51,M58)</f>
        <v>0</v>
      </c>
      <c r="N43" s="405"/>
      <c r="O43" s="459"/>
      <c r="P43" s="460">
        <f>SUBTOTAL(9,P44:P68)</f>
        <v>0</v>
      </c>
      <c r="Q43" s="413"/>
      <c r="S43" s="460">
        <f>SUBTOTAL(9,S44:S68)</f>
        <v>0</v>
      </c>
      <c r="T43" s="460">
        <f>SUBTOTAL(9,T44:T68)</f>
        <v>0</v>
      </c>
      <c r="U43" s="413"/>
    </row>
    <row r="44" spans="2:21" outlineLevel="1">
      <c r="C44" s="466" t="s">
        <v>520</v>
      </c>
      <c r="D44" s="462" t="s">
        <v>521</v>
      </c>
      <c r="E44" s="458"/>
      <c r="F44" s="463"/>
      <c r="G44" s="464">
        <f>SUBTOTAL(9,G45:G50)</f>
        <v>0</v>
      </c>
      <c r="H44" s="464">
        <f>SUBTOTAL(9,H45:H50)</f>
        <v>0</v>
      </c>
      <c r="I44" s="464">
        <f>SUM(J44:K44)+M44</f>
        <v>0</v>
      </c>
      <c r="J44" s="463"/>
      <c r="K44" s="463"/>
      <c r="L44" s="412"/>
      <c r="M44" s="463"/>
      <c r="N44" s="412"/>
      <c r="O44" s="463"/>
      <c r="P44" s="464">
        <f>SUBTOTAL(9,P45:P50)</f>
        <v>0</v>
      </c>
      <c r="Q44" s="413"/>
      <c r="S44" s="464">
        <f>SUBTOTAL(9,S45:S50)</f>
        <v>0</v>
      </c>
      <c r="T44" s="464">
        <f>SUBTOTAL(9,T45:T50)</f>
        <v>0</v>
      </c>
      <c r="U44" s="413"/>
    </row>
    <row r="45" spans="2:21" outlineLevel="2">
      <c r="C45" s="466" t="s">
        <v>522</v>
      </c>
      <c r="D45" s="462" t="s">
        <v>523</v>
      </c>
      <c r="E45" s="474"/>
      <c r="F45" s="1836"/>
      <c r="G45" s="1836"/>
      <c r="H45" s="1836"/>
      <c r="I45" s="1836"/>
      <c r="J45" s="1836"/>
      <c r="K45" s="1836"/>
      <c r="L45" s="1837"/>
      <c r="M45" s="1836"/>
      <c r="N45" s="1837"/>
      <c r="O45" s="1836"/>
      <c r="P45" s="1836"/>
      <c r="Q45" s="413"/>
      <c r="R45" s="1838"/>
      <c r="S45" s="1836"/>
      <c r="T45" s="1836"/>
      <c r="U45" s="413"/>
    </row>
    <row r="46" spans="2:21" outlineLevel="2">
      <c r="B46" s="233">
        <v>2</v>
      </c>
      <c r="C46" s="466" t="str">
        <f>CONCATENATE(C$44,B46)</f>
        <v>2.1.2</v>
      </c>
      <c r="D46" s="470" t="s">
        <v>524</v>
      </c>
      <c r="E46" s="415"/>
      <c r="F46" s="465"/>
      <c r="G46" s="464">
        <f>SUBTOTAL(9,G47:G49)</f>
        <v>0</v>
      </c>
      <c r="H46" s="464">
        <f>SUBTOTAL(9,H47:H49)</f>
        <v>0</v>
      </c>
      <c r="I46" s="471"/>
      <c r="J46" s="471"/>
      <c r="K46" s="471"/>
      <c r="L46" s="472"/>
      <c r="M46" s="471"/>
      <c r="N46" s="472"/>
      <c r="O46" s="471"/>
      <c r="P46" s="464">
        <f>SUBTOTAL(9,P47:P49)</f>
        <v>0</v>
      </c>
      <c r="Q46" s="413"/>
      <c r="R46" s="212" t="s">
        <v>422</v>
      </c>
      <c r="S46" s="464">
        <f>SUBTOTAL(9,S47:S49)</f>
        <v>0</v>
      </c>
      <c r="T46" s="464">
        <f>SUBTOTAL(9,T47:T49)</f>
        <v>0</v>
      </c>
      <c r="U46" s="413"/>
    </row>
    <row r="47" spans="2:21" outlineLevel="2">
      <c r="C47" s="466"/>
      <c r="D47" s="467"/>
      <c r="E47" s="415" t="s">
        <v>525</v>
      </c>
      <c r="F47" s="465"/>
      <c r="G47" s="463"/>
      <c r="H47" s="463"/>
      <c r="I47" s="471"/>
      <c r="J47" s="471"/>
      <c r="K47" s="471"/>
      <c r="L47" s="472"/>
      <c r="M47" s="471"/>
      <c r="N47" s="472"/>
      <c r="O47" s="471"/>
      <c r="P47" s="463"/>
      <c r="Q47" s="413"/>
      <c r="S47" s="463"/>
      <c r="T47" s="463"/>
      <c r="U47" s="413"/>
    </row>
    <row r="48" spans="2:21" outlineLevel="2">
      <c r="C48" s="466"/>
      <c r="D48" s="467"/>
      <c r="E48" s="415" t="s">
        <v>526</v>
      </c>
      <c r="F48" s="465"/>
      <c r="G48" s="463"/>
      <c r="H48" s="463"/>
      <c r="I48" s="471"/>
      <c r="J48" s="471"/>
      <c r="K48" s="471"/>
      <c r="L48" s="472"/>
      <c r="M48" s="471"/>
      <c r="N48" s="472"/>
      <c r="O48" s="471"/>
      <c r="P48" s="463"/>
      <c r="Q48" s="413"/>
      <c r="S48" s="463"/>
      <c r="T48" s="463"/>
      <c r="U48" s="413"/>
    </row>
    <row r="49" spans="2:21" ht="14.25" outlineLevel="2">
      <c r="C49" s="475"/>
      <c r="D49" s="476"/>
      <c r="E49" s="422" t="s">
        <v>430</v>
      </c>
      <c r="F49" s="477"/>
      <c r="G49" s="477"/>
      <c r="H49" s="477"/>
      <c r="I49" s="477"/>
      <c r="J49" s="477"/>
      <c r="K49" s="477"/>
      <c r="L49" s="478"/>
      <c r="M49" s="477"/>
      <c r="N49" s="478"/>
      <c r="O49" s="477"/>
      <c r="P49" s="477"/>
      <c r="Q49" s="479"/>
      <c r="S49" s="477"/>
      <c r="T49" s="477"/>
      <c r="U49" s="479"/>
    </row>
    <row r="50" spans="2:21" ht="14.25" outlineLevel="2">
      <c r="C50" s="475"/>
      <c r="D50" s="473" t="s">
        <v>434</v>
      </c>
      <c r="E50" s="480"/>
      <c r="F50" s="477"/>
      <c r="G50" s="477"/>
      <c r="H50" s="477"/>
      <c r="I50" s="477"/>
      <c r="J50" s="477"/>
      <c r="K50" s="477"/>
      <c r="L50" s="478"/>
      <c r="M50" s="477"/>
      <c r="N50" s="478"/>
      <c r="O50" s="477"/>
      <c r="P50" s="477"/>
      <c r="Q50" s="479"/>
      <c r="S50" s="477"/>
      <c r="T50" s="477"/>
      <c r="U50" s="479"/>
    </row>
    <row r="51" spans="2:21" outlineLevel="1">
      <c r="C51" s="466" t="s">
        <v>527</v>
      </c>
      <c r="D51" s="462" t="s">
        <v>528</v>
      </c>
      <c r="E51" s="458"/>
      <c r="F51" s="463"/>
      <c r="G51" s="464">
        <f>SUBTOTAL(9,G52:G57)</f>
        <v>0</v>
      </c>
      <c r="H51" s="464">
        <f>SUBTOTAL(9,H52:H57)</f>
        <v>0</v>
      </c>
      <c r="I51" s="464">
        <f>SUM(J51:K51)+M51</f>
        <v>0</v>
      </c>
      <c r="J51" s="463"/>
      <c r="K51" s="463"/>
      <c r="L51" s="412"/>
      <c r="M51" s="463"/>
      <c r="N51" s="412"/>
      <c r="O51" s="463"/>
      <c r="P51" s="464">
        <f>SUBTOTAL(9,P52:P57)</f>
        <v>0</v>
      </c>
      <c r="Q51" s="413"/>
      <c r="S51" s="464">
        <f>SUBTOTAL(9,S52:S57)</f>
        <v>0</v>
      </c>
      <c r="T51" s="464">
        <f>SUBTOTAL(9,T52:T57)</f>
        <v>0</v>
      </c>
      <c r="U51" s="413"/>
    </row>
    <row r="52" spans="2:21" outlineLevel="2">
      <c r="C52" s="466" t="s">
        <v>529</v>
      </c>
      <c r="D52" s="462" t="s">
        <v>523</v>
      </c>
      <c r="E52" s="474"/>
      <c r="F52" s="1836"/>
      <c r="G52" s="1836"/>
      <c r="H52" s="1836"/>
      <c r="I52" s="1836"/>
      <c r="J52" s="1836"/>
      <c r="K52" s="1836"/>
      <c r="L52" s="1837"/>
      <c r="M52" s="1836"/>
      <c r="N52" s="1837"/>
      <c r="O52" s="1836"/>
      <c r="P52" s="1836"/>
      <c r="Q52" s="413"/>
      <c r="R52" s="1838"/>
      <c r="S52" s="1836"/>
      <c r="T52" s="1836"/>
      <c r="U52" s="413"/>
    </row>
    <row r="53" spans="2:21" outlineLevel="2">
      <c r="B53" s="233">
        <f>B46+1</f>
        <v>3</v>
      </c>
      <c r="C53" s="466" t="str">
        <f>CONCATENATE(C$51,B53)</f>
        <v>2.2.3</v>
      </c>
      <c r="D53" s="470" t="s">
        <v>530</v>
      </c>
      <c r="E53" s="415"/>
      <c r="F53" s="465"/>
      <c r="G53" s="464">
        <f>SUBTOTAL(9,G54:G56)</f>
        <v>0</v>
      </c>
      <c r="H53" s="464">
        <f>SUBTOTAL(9,H54:H56)</f>
        <v>0</v>
      </c>
      <c r="I53" s="471"/>
      <c r="J53" s="471"/>
      <c r="K53" s="471"/>
      <c r="L53" s="472"/>
      <c r="M53" s="471"/>
      <c r="N53" s="472"/>
      <c r="O53" s="471"/>
      <c r="P53" s="464">
        <f>SUBTOTAL(9,P54:P56)</f>
        <v>0</v>
      </c>
      <c r="Q53" s="413"/>
      <c r="R53" s="212" t="s">
        <v>422</v>
      </c>
      <c r="S53" s="464">
        <f>SUBTOTAL(9,S54:S56)</f>
        <v>0</v>
      </c>
      <c r="T53" s="464">
        <f>SUBTOTAL(9,T54:T56)</f>
        <v>0</v>
      </c>
      <c r="U53" s="413"/>
    </row>
    <row r="54" spans="2:21" outlineLevel="2">
      <c r="C54" s="466"/>
      <c r="D54" s="467"/>
      <c r="E54" s="415" t="s">
        <v>531</v>
      </c>
      <c r="F54" s="465"/>
      <c r="G54" s="463"/>
      <c r="H54" s="463"/>
      <c r="I54" s="471"/>
      <c r="J54" s="471"/>
      <c r="K54" s="471"/>
      <c r="L54" s="472"/>
      <c r="M54" s="471"/>
      <c r="N54" s="472"/>
      <c r="O54" s="471"/>
      <c r="P54" s="463"/>
      <c r="Q54" s="413"/>
      <c r="S54" s="463"/>
      <c r="T54" s="463"/>
      <c r="U54" s="413"/>
    </row>
    <row r="55" spans="2:21" outlineLevel="2">
      <c r="C55" s="466"/>
      <c r="D55" s="467"/>
      <c r="E55" s="415" t="s">
        <v>532</v>
      </c>
      <c r="F55" s="465"/>
      <c r="G55" s="463"/>
      <c r="H55" s="463"/>
      <c r="I55" s="471"/>
      <c r="J55" s="471"/>
      <c r="K55" s="471"/>
      <c r="L55" s="472"/>
      <c r="M55" s="471"/>
      <c r="N55" s="472"/>
      <c r="O55" s="471"/>
      <c r="P55" s="463"/>
      <c r="Q55" s="413"/>
      <c r="S55" s="463"/>
      <c r="T55" s="463"/>
      <c r="U55" s="413"/>
    </row>
    <row r="56" spans="2:21" ht="14.25" outlineLevel="2">
      <c r="C56" s="475"/>
      <c r="D56" s="476"/>
      <c r="E56" s="422" t="s">
        <v>430</v>
      </c>
      <c r="F56" s="477"/>
      <c r="G56" s="477"/>
      <c r="H56" s="477"/>
      <c r="I56" s="477"/>
      <c r="J56" s="477"/>
      <c r="K56" s="477"/>
      <c r="L56" s="478"/>
      <c r="M56" s="477"/>
      <c r="N56" s="478"/>
      <c r="O56" s="477"/>
      <c r="P56" s="477"/>
      <c r="Q56" s="479"/>
      <c r="S56" s="477"/>
      <c r="T56" s="477"/>
      <c r="U56" s="479"/>
    </row>
    <row r="57" spans="2:21" ht="14.25" outlineLevel="2">
      <c r="C57" s="475"/>
      <c r="D57" s="473" t="s">
        <v>434</v>
      </c>
      <c r="E57" s="480"/>
      <c r="F57" s="477"/>
      <c r="G57" s="477"/>
      <c r="H57" s="477"/>
      <c r="I57" s="477"/>
      <c r="J57" s="477"/>
      <c r="K57" s="477"/>
      <c r="L57" s="478"/>
      <c r="M57" s="477"/>
      <c r="N57" s="478"/>
      <c r="O57" s="477"/>
      <c r="P57" s="477"/>
      <c r="Q57" s="479"/>
      <c r="S57" s="477"/>
      <c r="T57" s="477"/>
      <c r="U57" s="479"/>
    </row>
    <row r="58" spans="2:21" outlineLevel="1">
      <c r="C58" s="466" t="s">
        <v>533</v>
      </c>
      <c r="D58" s="462" t="s">
        <v>534</v>
      </c>
      <c r="E58" s="458"/>
      <c r="F58" s="463"/>
      <c r="G58" s="464">
        <f>SUBTOTAL(9,G59:G68)</f>
        <v>0</v>
      </c>
      <c r="H58" s="464">
        <f>SUBTOTAL(9,H59:H68)</f>
        <v>0</v>
      </c>
      <c r="I58" s="464">
        <f>SUM(J58:K58)+M58</f>
        <v>0</v>
      </c>
      <c r="J58" s="463"/>
      <c r="K58" s="463"/>
      <c r="L58" s="412"/>
      <c r="M58" s="463"/>
      <c r="N58" s="412"/>
      <c r="O58" s="463"/>
      <c r="P58" s="464">
        <f>SUBTOTAL(9,P59:P68)</f>
        <v>0</v>
      </c>
      <c r="Q58" s="413"/>
      <c r="S58" s="464">
        <f>SUBTOTAL(9,S59:S68)</f>
        <v>0</v>
      </c>
      <c r="T58" s="464">
        <f>SUBTOTAL(9,T59:T68)</f>
        <v>0</v>
      </c>
      <c r="U58" s="413"/>
    </row>
    <row r="59" spans="2:21" outlineLevel="1">
      <c r="C59" s="466" t="s">
        <v>535</v>
      </c>
      <c r="D59" s="462" t="s">
        <v>523</v>
      </c>
      <c r="E59" s="458"/>
      <c r="F59" s="463"/>
      <c r="G59" s="1836"/>
      <c r="H59" s="1836"/>
      <c r="I59" s="1836"/>
      <c r="J59" s="1836"/>
      <c r="K59" s="1836"/>
      <c r="L59" s="1837"/>
      <c r="M59" s="1836"/>
      <c r="N59" s="1837"/>
      <c r="O59" s="1836"/>
      <c r="P59" s="1836"/>
      <c r="Q59" s="413"/>
      <c r="S59" s="1836"/>
      <c r="T59" s="1836"/>
      <c r="U59" s="413"/>
    </row>
    <row r="60" spans="2:21" outlineLevel="2">
      <c r="B60" s="233">
        <v>2</v>
      </c>
      <c r="C60" s="466" t="str">
        <f>CONCATENATE(C$58,B60)</f>
        <v>2.3.2</v>
      </c>
      <c r="D60" s="470" t="s">
        <v>536</v>
      </c>
      <c r="E60" s="415"/>
      <c r="F60" s="465"/>
      <c r="G60" s="464">
        <f>SUBTOTAL(9,G61:G63)</f>
        <v>0</v>
      </c>
      <c r="H60" s="464">
        <f>SUBTOTAL(9,H61:H63)</f>
        <v>0</v>
      </c>
      <c r="I60" s="471"/>
      <c r="J60" s="471"/>
      <c r="K60" s="471"/>
      <c r="L60" s="472"/>
      <c r="M60" s="471"/>
      <c r="N60" s="472"/>
      <c r="O60" s="471"/>
      <c r="P60" s="464">
        <f>SUBTOTAL(9,P61:P63)</f>
        <v>0</v>
      </c>
      <c r="Q60" s="413"/>
      <c r="R60" s="212" t="s">
        <v>422</v>
      </c>
      <c r="S60" s="464">
        <f>SUBTOTAL(9,S61:S63)</f>
        <v>0</v>
      </c>
      <c r="T60" s="464">
        <f>SUBTOTAL(9,T61:T63)</f>
        <v>0</v>
      </c>
      <c r="U60" s="413"/>
    </row>
    <row r="61" spans="2:21" outlineLevel="2">
      <c r="C61" s="466"/>
      <c r="D61" s="467"/>
      <c r="E61" s="415" t="s">
        <v>537</v>
      </c>
      <c r="F61" s="465"/>
      <c r="G61" s="463"/>
      <c r="H61" s="463"/>
      <c r="I61" s="471"/>
      <c r="J61" s="471"/>
      <c r="K61" s="471"/>
      <c r="L61" s="472"/>
      <c r="M61" s="471"/>
      <c r="N61" s="472"/>
      <c r="O61" s="471"/>
      <c r="P61" s="463"/>
      <c r="Q61" s="413"/>
      <c r="S61" s="463"/>
      <c r="T61" s="463"/>
      <c r="U61" s="413"/>
    </row>
    <row r="62" spans="2:21" outlineLevel="2">
      <c r="C62" s="466"/>
      <c r="D62" s="467"/>
      <c r="E62" s="415" t="s">
        <v>538</v>
      </c>
      <c r="F62" s="465"/>
      <c r="G62" s="463"/>
      <c r="H62" s="463"/>
      <c r="I62" s="471"/>
      <c r="J62" s="471"/>
      <c r="K62" s="471"/>
      <c r="L62" s="472"/>
      <c r="M62" s="471"/>
      <c r="N62" s="472"/>
      <c r="O62" s="471"/>
      <c r="P62" s="463"/>
      <c r="Q62" s="413"/>
      <c r="S62" s="463"/>
      <c r="T62" s="463"/>
      <c r="U62" s="413"/>
    </row>
    <row r="63" spans="2:21" ht="14.25" outlineLevel="2">
      <c r="C63" s="475"/>
      <c r="D63" s="476"/>
      <c r="E63" s="422" t="s">
        <v>430</v>
      </c>
      <c r="F63" s="469"/>
      <c r="G63" s="477"/>
      <c r="H63" s="477"/>
      <c r="I63" s="477"/>
      <c r="J63" s="477"/>
      <c r="K63" s="477"/>
      <c r="L63" s="478"/>
      <c r="M63" s="477"/>
      <c r="N63" s="478"/>
      <c r="O63" s="469"/>
      <c r="P63" s="477"/>
      <c r="Q63" s="479"/>
      <c r="S63" s="477"/>
      <c r="T63" s="477"/>
      <c r="U63" s="479"/>
    </row>
    <row r="64" spans="2:21" outlineLevel="2">
      <c r="B64" s="233">
        <f>B60+1</f>
        <v>3</v>
      </c>
      <c r="C64" s="466" t="str">
        <f>CONCATENATE(C$58,B64)</f>
        <v>2.3.3</v>
      </c>
      <c r="D64" s="470" t="s">
        <v>539</v>
      </c>
      <c r="E64" s="415"/>
      <c r="F64" s="465"/>
      <c r="G64" s="464">
        <f>SUBTOTAL(9,G65:G67)</f>
        <v>0</v>
      </c>
      <c r="H64" s="464">
        <f>SUBTOTAL(9,H65:H67)</f>
        <v>0</v>
      </c>
      <c r="I64" s="471"/>
      <c r="J64" s="471"/>
      <c r="K64" s="471"/>
      <c r="L64" s="472"/>
      <c r="M64" s="471"/>
      <c r="N64" s="472"/>
      <c r="O64" s="471"/>
      <c r="P64" s="464">
        <f>SUBTOTAL(9,P65:P67)</f>
        <v>0</v>
      </c>
      <c r="Q64" s="413"/>
      <c r="R64" s="212" t="s">
        <v>422</v>
      </c>
      <c r="S64" s="464">
        <f>SUBTOTAL(9,S65:S67)</f>
        <v>0</v>
      </c>
      <c r="T64" s="464">
        <f>SUBTOTAL(9,T65:T67)</f>
        <v>0</v>
      </c>
      <c r="U64" s="413"/>
    </row>
    <row r="65" spans="3:21" outlineLevel="2">
      <c r="C65" s="466"/>
      <c r="D65" s="467"/>
      <c r="E65" s="415" t="s">
        <v>540</v>
      </c>
      <c r="F65" s="465"/>
      <c r="G65" s="463"/>
      <c r="H65" s="463"/>
      <c r="I65" s="471"/>
      <c r="J65" s="471"/>
      <c r="K65" s="471"/>
      <c r="L65" s="472"/>
      <c r="M65" s="471"/>
      <c r="N65" s="472"/>
      <c r="O65" s="471"/>
      <c r="P65" s="463"/>
      <c r="Q65" s="413"/>
      <c r="S65" s="463"/>
      <c r="T65" s="463"/>
      <c r="U65" s="413"/>
    </row>
    <row r="66" spans="3:21" outlineLevel="2">
      <c r="C66" s="466"/>
      <c r="D66" s="467"/>
      <c r="E66" s="415" t="s">
        <v>541</v>
      </c>
      <c r="F66" s="465"/>
      <c r="G66" s="463"/>
      <c r="H66" s="463"/>
      <c r="I66" s="471"/>
      <c r="J66" s="471"/>
      <c r="K66" s="471"/>
      <c r="L66" s="472"/>
      <c r="M66" s="471"/>
      <c r="N66" s="472"/>
      <c r="O66" s="471"/>
      <c r="P66" s="463"/>
      <c r="Q66" s="413"/>
      <c r="S66" s="463"/>
      <c r="T66" s="463"/>
      <c r="U66" s="413"/>
    </row>
    <row r="67" spans="3:21" ht="14.25" outlineLevel="2">
      <c r="C67" s="475"/>
      <c r="D67" s="476"/>
      <c r="E67" s="422" t="s">
        <v>430</v>
      </c>
      <c r="F67" s="477"/>
      <c r="G67" s="477"/>
      <c r="H67" s="477"/>
      <c r="I67" s="477"/>
      <c r="J67" s="477"/>
      <c r="K67" s="477"/>
      <c r="L67" s="478"/>
      <c r="M67" s="477"/>
      <c r="N67" s="478"/>
      <c r="O67" s="477"/>
      <c r="P67" s="477"/>
      <c r="Q67" s="479"/>
      <c r="S67" s="477"/>
      <c r="T67" s="477"/>
      <c r="U67" s="479"/>
    </row>
    <row r="68" spans="3:21" ht="14.25" outlineLevel="2">
      <c r="C68" s="475"/>
      <c r="D68" s="473" t="s">
        <v>434</v>
      </c>
      <c r="E68" s="480"/>
      <c r="F68" s="477"/>
      <c r="G68" s="477"/>
      <c r="H68" s="477"/>
      <c r="I68" s="477"/>
      <c r="J68" s="477"/>
      <c r="K68" s="477"/>
      <c r="L68" s="478"/>
      <c r="M68" s="477"/>
      <c r="N68" s="478"/>
      <c r="O68" s="477"/>
      <c r="P68" s="477"/>
      <c r="Q68" s="479"/>
      <c r="S68" s="477"/>
      <c r="T68" s="477"/>
      <c r="U68" s="479"/>
    </row>
    <row r="70" spans="3:21">
      <c r="D70" s="438"/>
    </row>
    <row r="71" spans="3:21">
      <c r="D71" s="438" t="s">
        <v>498</v>
      </c>
    </row>
    <row r="72" spans="3:21">
      <c r="D72" s="2306" t="s">
        <v>542</v>
      </c>
      <c r="E72" s="2306"/>
      <c r="F72" s="2306"/>
      <c r="G72" s="2306"/>
      <c r="H72" s="2306"/>
    </row>
    <row r="73" spans="3:21">
      <c r="D73" s="439" t="s">
        <v>2165</v>
      </c>
    </row>
    <row r="74" spans="3:21">
      <c r="D74" s="481" t="s">
        <v>543</v>
      </c>
    </row>
    <row r="75" spans="3:21">
      <c r="D75" s="481" t="s">
        <v>544</v>
      </c>
      <c r="E75" s="442"/>
      <c r="F75" s="442"/>
      <c r="G75" s="442"/>
      <c r="H75" s="442"/>
      <c r="S75" s="442"/>
    </row>
    <row r="76" spans="3:21">
      <c r="D76" s="481" t="s">
        <v>545</v>
      </c>
    </row>
    <row r="80" spans="3:21" ht="15">
      <c r="D80" s="2326"/>
      <c r="E80" s="2327"/>
      <c r="Q80" s="482"/>
      <c r="U80" s="482"/>
    </row>
    <row r="81" spans="4:21" ht="14.25">
      <c r="D81" s="483"/>
      <c r="E81" s="483"/>
    </row>
    <row r="82" spans="4:21" ht="18.75" customHeight="1">
      <c r="D82" s="2328"/>
      <c r="E82" s="2329"/>
      <c r="Q82" s="482"/>
      <c r="U82" s="482"/>
    </row>
    <row r="88" spans="4:21">
      <c r="D88" s="484"/>
    </row>
  </sheetData>
  <sheetProtection formatColumns="0" formatRows="0" insertHyperlinks="0"/>
  <mergeCells count="23">
    <mergeCell ref="D72:H72"/>
    <mergeCell ref="D80:E80"/>
    <mergeCell ref="D82:E82"/>
    <mergeCell ref="Q7:Q10"/>
    <mergeCell ref="S7:S9"/>
    <mergeCell ref="T7:T9"/>
    <mergeCell ref="U7:U10"/>
    <mergeCell ref="I8:I9"/>
    <mergeCell ref="J8:J9"/>
    <mergeCell ref="K8:K9"/>
    <mergeCell ref="L8:L9"/>
    <mergeCell ref="M8:M9"/>
    <mergeCell ref="N8:N9"/>
    <mergeCell ref="C4:Q4"/>
    <mergeCell ref="C7:C10"/>
    <mergeCell ref="D7:D10"/>
    <mergeCell ref="E7:E10"/>
    <mergeCell ref="F7:F9"/>
    <mergeCell ref="G7:G9"/>
    <mergeCell ref="H7:H9"/>
    <mergeCell ref="I7:N7"/>
    <mergeCell ref="O7:O9"/>
    <mergeCell ref="P7:P9"/>
  </mergeCells>
  <conditionalFormatting sqref="C65:C66">
    <cfRule type="duplicateValues" dxfId="16" priority="1"/>
  </conditionalFormatting>
  <conditionalFormatting sqref="C61:C62">
    <cfRule type="duplicateValues" dxfId="15" priority="2"/>
  </conditionalFormatting>
  <hyperlinks>
    <hyperlink ref="C1" location="'Перечень форм для заполнения'!A1" display="Вернуться к перечню форм"/>
    <hyperlink ref="E17" location="'8 (РПР, ремонт)'!A1" display="Добавить документ"/>
    <hyperlink ref="D22" location="'8 (РПР, ремонт)'!A1" display="Добавить группу затрат"/>
    <hyperlink ref="E21" location="'8 (РПР, ремонт)'!A1" display="Добавить документ"/>
    <hyperlink ref="E27" location="'8 (РПР, ремонт)'!A1" display="Добавить документ"/>
    <hyperlink ref="E31" location="'8 (РПР, ремонт)'!A1" display="Добавить документ"/>
    <hyperlink ref="E37" location="'8 (РПР, ремонт)'!A1" display="Добавить документ"/>
    <hyperlink ref="E41" location="'8 (РПР, ремонт)'!A1" display="Добавить документ"/>
    <hyperlink ref="E49" location="'8 (РПР, ремонт)'!A1" display="Добавить документ"/>
    <hyperlink ref="E56" location="'8 (РПР, ремонт)'!A1" display="Добавить документ"/>
    <hyperlink ref="E63" location="'8 (РПР, ремонт)'!A1" display="Добавить документ"/>
    <hyperlink ref="E67" location="'8 (РПР, ремонт)'!A1" display="Добавить документ"/>
    <hyperlink ref="D32" location="'8 (РПР, ремонт)'!A1" display="Добавить группу затрат"/>
    <hyperlink ref="D42" location="'8 (РПР, ремонт)'!A1" display="Добавить группу затрат"/>
    <hyperlink ref="D50" location="'8 (РПР, ремонт)'!A1" display="Добавить группу затрат"/>
    <hyperlink ref="D57" location="'8 (РПР, ремонт)'!A1" display="Добавить группу затрат"/>
    <hyperlink ref="D68" location="'8 (РПР, ремонт)'!A1" display="Добавить группу затрат"/>
  </hyperlinks>
  <pageMargins left="0.70866141732283472" right="0.23622047244094491" top="0.74803149606299213" bottom="0.43307086614173229" header="0.31496062992125984" footer="0.31496062992125984"/>
  <pageSetup paperSize="9" scale="35" fitToHeight="2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B1:N24"/>
  <sheetViews>
    <sheetView showGridLines="0" zoomScaleNormal="100" workbookViewId="0">
      <selection activeCell="F31" sqref="F31"/>
    </sheetView>
  </sheetViews>
  <sheetFormatPr defaultColWidth="9.140625" defaultRowHeight="12.75"/>
  <cols>
    <col min="1" max="1" width="3.7109375" style="212" customWidth="1"/>
    <col min="2" max="2" width="6.140625" style="212" bestFit="1" customWidth="1"/>
    <col min="3" max="3" width="21.85546875" style="212" bestFit="1" customWidth="1"/>
    <col min="4" max="4" width="21.85546875" style="212" customWidth="1"/>
    <col min="5" max="5" width="16.7109375" style="212" customWidth="1"/>
    <col min="6" max="6" width="23.28515625" style="212" customWidth="1"/>
    <col min="7" max="7" width="14" style="212" customWidth="1"/>
    <col min="8" max="8" width="22.7109375" style="212" customWidth="1"/>
    <col min="9" max="10" width="16.28515625" style="212" customWidth="1"/>
    <col min="11" max="11" width="11.85546875" style="212" customWidth="1"/>
    <col min="12" max="12" width="17.7109375" style="212" customWidth="1"/>
    <col min="13" max="13" width="12.5703125" style="212" customWidth="1"/>
    <col min="14" max="14" width="11.42578125" style="212" customWidth="1"/>
    <col min="15" max="16384" width="9.140625" style="212"/>
  </cols>
  <sheetData>
    <row r="1" spans="2:14">
      <c r="B1" s="210" t="s">
        <v>210</v>
      </c>
      <c r="M1" s="485" t="s">
        <v>546</v>
      </c>
      <c r="N1" s="485"/>
    </row>
    <row r="2" spans="2:14">
      <c r="M2" s="485" t="s">
        <v>547</v>
      </c>
      <c r="N2" s="485"/>
    </row>
    <row r="3" spans="2:14" ht="51.75" customHeight="1">
      <c r="B3" s="2322" t="s">
        <v>548</v>
      </c>
      <c r="C3" s="2322"/>
      <c r="D3" s="2322"/>
      <c r="E3" s="2322"/>
      <c r="F3" s="2322"/>
      <c r="G3" s="2322"/>
      <c r="H3" s="2322"/>
      <c r="I3" s="2322"/>
      <c r="J3" s="2322"/>
      <c r="K3" s="2322"/>
      <c r="L3" s="2322"/>
      <c r="M3" s="2322"/>
      <c r="N3" s="2322"/>
    </row>
    <row r="5" spans="2:14">
      <c r="B5" s="486"/>
      <c r="C5" s="486"/>
      <c r="D5" s="486"/>
      <c r="E5" s="486"/>
      <c r="F5" s="486"/>
      <c r="L5" s="487"/>
      <c r="M5" s="487"/>
      <c r="N5" s="487"/>
    </row>
    <row r="6" spans="2:14" ht="13.15" customHeight="1">
      <c r="B6" s="2331" t="s">
        <v>549</v>
      </c>
      <c r="C6" s="2331"/>
      <c r="D6" s="2331"/>
      <c r="E6" s="2331"/>
      <c r="F6" s="2331"/>
      <c r="G6" s="2331"/>
      <c r="H6" s="2331"/>
      <c r="I6" s="2330" t="s">
        <v>550</v>
      </c>
      <c r="J6" s="2330"/>
      <c r="K6" s="2330"/>
      <c r="L6" s="2330"/>
      <c r="M6" s="2330"/>
      <c r="N6" s="2330"/>
    </row>
    <row r="7" spans="2:14" ht="52.9" customHeight="1">
      <c r="B7" s="2330" t="s">
        <v>12</v>
      </c>
      <c r="C7" s="2330" t="s">
        <v>551</v>
      </c>
      <c r="D7" s="2330" t="s">
        <v>552</v>
      </c>
      <c r="E7" s="2330" t="s">
        <v>553</v>
      </c>
      <c r="F7" s="2330" t="s">
        <v>554</v>
      </c>
      <c r="G7" s="2330" t="s">
        <v>555</v>
      </c>
      <c r="H7" s="2330" t="s">
        <v>556</v>
      </c>
      <c r="I7" s="2330" t="s">
        <v>557</v>
      </c>
      <c r="J7" s="2330" t="s">
        <v>558</v>
      </c>
      <c r="K7" s="2330" t="s">
        <v>559</v>
      </c>
      <c r="L7" s="2330" t="s">
        <v>556</v>
      </c>
      <c r="M7" s="2330" t="s">
        <v>560</v>
      </c>
      <c r="N7" s="2330" t="s">
        <v>561</v>
      </c>
    </row>
    <row r="8" spans="2:14">
      <c r="B8" s="2330"/>
      <c r="C8" s="2330"/>
      <c r="D8" s="2330"/>
      <c r="E8" s="2330"/>
      <c r="F8" s="2330"/>
      <c r="G8" s="2330"/>
      <c r="H8" s="2330"/>
      <c r="I8" s="2330"/>
      <c r="J8" s="2330"/>
      <c r="K8" s="2330"/>
      <c r="L8" s="2330"/>
      <c r="M8" s="2330"/>
      <c r="N8" s="2330"/>
    </row>
    <row r="9" spans="2:14">
      <c r="B9" s="488">
        <v>1</v>
      </c>
      <c r="C9" s="488">
        <f>B9+1</f>
        <v>2</v>
      </c>
      <c r="D9" s="488">
        <f t="shared" ref="D9:N9" si="0">C9+1</f>
        <v>3</v>
      </c>
      <c r="E9" s="488">
        <f t="shared" si="0"/>
        <v>4</v>
      </c>
      <c r="F9" s="488">
        <f t="shared" si="0"/>
        <v>5</v>
      </c>
      <c r="G9" s="488">
        <f t="shared" si="0"/>
        <v>6</v>
      </c>
      <c r="H9" s="488">
        <f t="shared" si="0"/>
        <v>7</v>
      </c>
      <c r="I9" s="488">
        <f t="shared" si="0"/>
        <v>8</v>
      </c>
      <c r="J9" s="488">
        <f t="shared" si="0"/>
        <v>9</v>
      </c>
      <c r="K9" s="488">
        <f t="shared" si="0"/>
        <v>10</v>
      </c>
      <c r="L9" s="488">
        <f t="shared" si="0"/>
        <v>11</v>
      </c>
      <c r="M9" s="488">
        <f t="shared" si="0"/>
        <v>12</v>
      </c>
      <c r="N9" s="488">
        <f t="shared" si="0"/>
        <v>13</v>
      </c>
    </row>
    <row r="10" spans="2:14">
      <c r="B10" s="489">
        <v>1</v>
      </c>
      <c r="C10" s="490" t="s">
        <v>562</v>
      </c>
      <c r="D10" s="491"/>
      <c r="E10" s="492"/>
      <c r="F10" s="492"/>
      <c r="G10" s="492"/>
      <c r="H10" s="492"/>
      <c r="I10" s="493"/>
      <c r="J10" s="460">
        <f>SUM(J11:J13)</f>
        <v>0</v>
      </c>
      <c r="K10" s="494"/>
      <c r="L10" s="494"/>
      <c r="M10" s="492"/>
      <c r="N10" s="492"/>
    </row>
    <row r="11" spans="2:14">
      <c r="B11" s="495" t="str">
        <f>CONCATENATE(B$10,".",ROW()-ROW(B$10))</f>
        <v>1.1</v>
      </c>
      <c r="C11" s="415"/>
      <c r="D11" s="413"/>
      <c r="E11" s="413"/>
      <c r="F11" s="492"/>
      <c r="G11" s="496"/>
      <c r="H11" s="496"/>
      <c r="I11" s="497"/>
      <c r="J11" s="498"/>
      <c r="K11" s="413"/>
      <c r="L11" s="413"/>
      <c r="M11" s="413"/>
      <c r="N11" s="413"/>
    </row>
    <row r="12" spans="2:14">
      <c r="B12" s="495" t="str">
        <f>CONCATENATE(B$10,".",ROW()-ROW(B$10))</f>
        <v>1.2</v>
      </c>
      <c r="C12" s="415"/>
      <c r="D12" s="413"/>
      <c r="E12" s="413"/>
      <c r="F12" s="492"/>
      <c r="G12" s="496"/>
      <c r="H12" s="496"/>
      <c r="I12" s="497"/>
      <c r="J12" s="498"/>
      <c r="K12" s="413"/>
      <c r="L12" s="413"/>
      <c r="M12" s="413"/>
      <c r="N12" s="413"/>
    </row>
    <row r="13" spans="2:14" ht="14.25">
      <c r="B13" s="468"/>
      <c r="C13" s="473" t="s">
        <v>563</v>
      </c>
      <c r="D13" s="420"/>
      <c r="E13" s="420"/>
      <c r="F13" s="420"/>
      <c r="G13" s="420"/>
      <c r="H13" s="420"/>
      <c r="I13" s="468"/>
      <c r="J13" s="499"/>
      <c r="K13" s="420"/>
      <c r="L13" s="420"/>
      <c r="M13" s="420"/>
      <c r="N13" s="420"/>
    </row>
    <row r="14" spans="2:14">
      <c r="B14" s="489">
        <v>2</v>
      </c>
      <c r="C14" s="490" t="s">
        <v>564</v>
      </c>
      <c r="D14" s="491"/>
      <c r="E14" s="492"/>
      <c r="F14" s="492"/>
      <c r="G14" s="492"/>
      <c r="H14" s="492"/>
      <c r="I14" s="493"/>
      <c r="J14" s="460">
        <f>SUM(J15:J17)</f>
        <v>0</v>
      </c>
      <c r="K14" s="494"/>
      <c r="L14" s="494"/>
      <c r="M14" s="492"/>
      <c r="N14" s="492"/>
    </row>
    <row r="15" spans="2:14">
      <c r="B15" s="495" t="str">
        <f>CONCATENATE(B$14,".",ROW()-ROW(B$14))</f>
        <v>2.1</v>
      </c>
      <c r="C15" s="415"/>
      <c r="D15" s="413"/>
      <c r="E15" s="413"/>
      <c r="F15" s="413"/>
      <c r="G15" s="413"/>
      <c r="H15" s="413"/>
      <c r="I15" s="497"/>
      <c r="J15" s="498"/>
      <c r="K15" s="413"/>
      <c r="L15" s="413"/>
      <c r="M15" s="413"/>
      <c r="N15" s="413"/>
    </row>
    <row r="16" spans="2:14">
      <c r="B16" s="495" t="str">
        <f>CONCATENATE(B$14,".",ROW()-ROW(B$14))</f>
        <v>2.2</v>
      </c>
      <c r="C16" s="415"/>
      <c r="D16" s="413"/>
      <c r="E16" s="413"/>
      <c r="F16" s="413"/>
      <c r="G16" s="413"/>
      <c r="H16" s="413"/>
      <c r="I16" s="497"/>
      <c r="J16" s="498"/>
      <c r="K16" s="413"/>
      <c r="L16" s="413"/>
      <c r="M16" s="413"/>
      <c r="N16" s="413"/>
    </row>
    <row r="17" spans="2:14" ht="14.25">
      <c r="B17" s="468"/>
      <c r="C17" s="473" t="s">
        <v>563</v>
      </c>
      <c r="D17" s="420"/>
      <c r="E17" s="420"/>
      <c r="F17" s="420"/>
      <c r="G17" s="420"/>
      <c r="H17" s="420"/>
      <c r="I17" s="468"/>
      <c r="J17" s="499"/>
      <c r="K17" s="420"/>
      <c r="L17" s="420"/>
      <c r="M17" s="420"/>
      <c r="N17" s="420"/>
    </row>
    <row r="18" spans="2:14" ht="25.5">
      <c r="B18" s="489">
        <v>3</v>
      </c>
      <c r="C18" s="490" t="s">
        <v>565</v>
      </c>
      <c r="D18" s="491"/>
      <c r="E18" s="492"/>
      <c r="F18" s="492"/>
      <c r="G18" s="492"/>
      <c r="H18" s="492"/>
      <c r="I18" s="493"/>
      <c r="J18" s="460">
        <f>SUM(J19:J21)</f>
        <v>0</v>
      </c>
      <c r="K18" s="494"/>
      <c r="L18" s="494"/>
      <c r="M18" s="492"/>
      <c r="N18" s="492"/>
    </row>
    <row r="19" spans="2:14">
      <c r="B19" s="495" t="str">
        <f>CONCATENATE(B$18,".",ROW()-ROW(B$18))</f>
        <v>3.1</v>
      </c>
      <c r="C19" s="415"/>
      <c r="D19" s="413"/>
      <c r="E19" s="413"/>
      <c r="F19" s="413"/>
      <c r="G19" s="413"/>
      <c r="H19" s="413"/>
      <c r="I19" s="497"/>
      <c r="J19" s="498"/>
      <c r="K19" s="413"/>
      <c r="L19" s="413"/>
      <c r="M19" s="413"/>
      <c r="N19" s="413"/>
    </row>
    <row r="20" spans="2:14">
      <c r="B20" s="495" t="str">
        <f>CONCATENATE(B$18,".",ROW()-ROW(B$18))</f>
        <v>3.2</v>
      </c>
      <c r="C20" s="415"/>
      <c r="D20" s="413"/>
      <c r="E20" s="413"/>
      <c r="F20" s="413"/>
      <c r="G20" s="413"/>
      <c r="H20" s="413"/>
      <c r="I20" s="497"/>
      <c r="J20" s="498"/>
      <c r="K20" s="413"/>
      <c r="L20" s="413"/>
      <c r="M20" s="413"/>
      <c r="N20" s="413"/>
    </row>
    <row r="21" spans="2:14" ht="14.25">
      <c r="B21" s="468"/>
      <c r="C21" s="473" t="s">
        <v>563</v>
      </c>
      <c r="D21" s="420"/>
      <c r="E21" s="420"/>
      <c r="F21" s="420"/>
      <c r="G21" s="420"/>
      <c r="H21" s="420"/>
      <c r="I21" s="468"/>
      <c r="J21" s="499"/>
      <c r="K21" s="420"/>
      <c r="L21" s="420"/>
      <c r="M21" s="420"/>
      <c r="N21" s="420"/>
    </row>
    <row r="22" spans="2:14" ht="24">
      <c r="B22" s="500"/>
      <c r="C22" s="500" t="s">
        <v>566</v>
      </c>
      <c r="D22" s="501"/>
      <c r="E22" s="502"/>
      <c r="F22" s="502"/>
      <c r="G22" s="502"/>
      <c r="H22" s="502"/>
      <c r="I22" s="503"/>
      <c r="J22" s="504">
        <f>SUMIF(I11:I13,M1,J11:J13)+SUMIF(I15:I17,M1,J15:J17)+SUMIF(I19:I21,M1,J19:J21)</f>
        <v>0</v>
      </c>
      <c r="K22" s="502"/>
      <c r="L22" s="502"/>
      <c r="M22" s="502"/>
      <c r="N22" s="502"/>
    </row>
    <row r="23" spans="2:14" ht="24">
      <c r="B23" s="500"/>
      <c r="C23" s="500" t="s">
        <v>567</v>
      </c>
      <c r="D23" s="501"/>
      <c r="E23" s="502"/>
      <c r="F23" s="502"/>
      <c r="G23" s="502"/>
      <c r="H23" s="502"/>
      <c r="I23" s="503"/>
      <c r="J23" s="504">
        <f>SUMIF(I11:I13,M2,J11:J13)+SUMIF(I15:I17,M2,J15:J17)+SUMIF(I19:I21,M2,J19:J21)</f>
        <v>0</v>
      </c>
      <c r="K23" s="502"/>
      <c r="L23" s="502"/>
      <c r="M23" s="502"/>
      <c r="N23" s="502"/>
    </row>
    <row r="24" spans="2:14">
      <c r="B24" s="500"/>
      <c r="C24" s="500" t="s">
        <v>497</v>
      </c>
      <c r="D24" s="501"/>
      <c r="E24" s="502"/>
      <c r="F24" s="502"/>
      <c r="G24" s="502"/>
      <c r="H24" s="502"/>
      <c r="I24" s="503"/>
      <c r="J24" s="460">
        <f>SUM(J10,J14,J18)</f>
        <v>0</v>
      </c>
      <c r="K24" s="502"/>
      <c r="L24" s="502"/>
      <c r="M24" s="502"/>
      <c r="N24" s="502"/>
    </row>
  </sheetData>
  <sheetProtection formatColumns="0" formatRows="0" insertHyperlinks="0"/>
  <mergeCells count="16">
    <mergeCell ref="N7:N8"/>
    <mergeCell ref="B3:N3"/>
    <mergeCell ref="B6:H6"/>
    <mergeCell ref="I6:N6"/>
    <mergeCell ref="B7:B8"/>
    <mergeCell ref="C7:C8"/>
    <mergeCell ref="D7:D8"/>
    <mergeCell ref="E7:E8"/>
    <mergeCell ref="F7:F8"/>
    <mergeCell ref="G7:G8"/>
    <mergeCell ref="H7:H8"/>
    <mergeCell ref="I7:I8"/>
    <mergeCell ref="J7:J8"/>
    <mergeCell ref="K7:K8"/>
    <mergeCell ref="L7:L8"/>
    <mergeCell ref="M7:M8"/>
  </mergeCells>
  <dataValidations count="2">
    <dataValidation type="list" allowBlank="1" showInputMessage="1" showErrorMessage="1" sqref="I15:I17 I11:I13 I19:I21">
      <formula1>$M$1:$M$2</formula1>
    </dataValidation>
    <dataValidation type="list" allowBlank="1" showInputMessage="1" showErrorMessage="1" sqref="I22:I23">
      <formula1>#REF!</formula1>
    </dataValidation>
  </dataValidations>
  <hyperlinks>
    <hyperlink ref="B1" location="'Перечень форм для заполнения'!A1" display="Вернуться к перечню форм"/>
    <hyperlink ref="C13" location="'8.2 (расходы на ТО)'!A1" display="Добавить строку"/>
    <hyperlink ref="C17" location="'8.2 (расходы на ТО)'!A1" display="Добавить строку"/>
    <hyperlink ref="C21" location="'8.2 (расходы на ТО)'!A1" display="Добавить строку"/>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92D050"/>
  </sheetPr>
  <dimension ref="A1:W47"/>
  <sheetViews>
    <sheetView showGridLines="0" zoomScale="80" zoomScaleNormal="80" zoomScaleSheetLayoutView="70" workbookViewId="0">
      <selection activeCell="D5" sqref="D5:D7"/>
    </sheetView>
  </sheetViews>
  <sheetFormatPr defaultColWidth="8.7109375" defaultRowHeight="15" outlineLevelCol="1"/>
  <cols>
    <col min="1" max="1" width="8.5703125" style="237" bestFit="1" customWidth="1"/>
    <col min="2" max="2" width="55" style="237" customWidth="1"/>
    <col min="3" max="6" width="18.42578125" style="237" customWidth="1"/>
    <col min="7" max="7" width="21.42578125" style="237" customWidth="1"/>
    <col min="8" max="8" width="25.140625" style="237" customWidth="1"/>
    <col min="9" max="9" width="30.42578125" style="237" customWidth="1"/>
    <col min="10" max="10" width="23.5703125" style="237" customWidth="1"/>
    <col min="11" max="11" width="30.28515625" style="237" customWidth="1"/>
    <col min="12" max="12" width="27.5703125" style="237" customWidth="1"/>
    <col min="13" max="13" width="18.42578125" style="237" hidden="1" customWidth="1" outlineLevel="1"/>
    <col min="14" max="14" width="30.28515625" style="237" hidden="1" customWidth="1" outlineLevel="1"/>
    <col min="15" max="15" width="18.42578125" style="237" hidden="1" customWidth="1" outlineLevel="1"/>
    <col min="16" max="16" width="12.42578125" style="233" customWidth="1" collapsed="1"/>
    <col min="17" max="17" width="12.42578125" style="233" customWidth="1"/>
    <col min="18" max="18" width="8.7109375" style="233"/>
    <col min="19" max="19" width="8.7109375" style="233" customWidth="1"/>
    <col min="20" max="16384" width="8.7109375" style="233"/>
  </cols>
  <sheetData>
    <row r="1" spans="1:23">
      <c r="A1" s="210" t="s">
        <v>210</v>
      </c>
      <c r="G1" s="212"/>
      <c r="H1" s="212"/>
      <c r="I1" s="212"/>
      <c r="J1" s="212"/>
      <c r="K1" s="505" t="s">
        <v>568</v>
      </c>
      <c r="L1" s="505"/>
      <c r="M1" s="212"/>
      <c r="N1" s="505"/>
      <c r="O1" s="212"/>
    </row>
    <row r="2" spans="1:23" ht="25.5" customHeight="1">
      <c r="A2" s="506"/>
      <c r="B2" s="507"/>
      <c r="C2" s="507"/>
      <c r="D2" s="507"/>
      <c r="E2" s="507"/>
      <c r="F2" s="507"/>
      <c r="G2" s="212"/>
      <c r="H2" s="212"/>
      <c r="I2" s="212"/>
      <c r="J2" s="212"/>
      <c r="K2" s="212"/>
      <c r="L2" s="212"/>
      <c r="M2" s="212"/>
      <c r="N2" s="212"/>
      <c r="O2" s="212"/>
    </row>
    <row r="3" spans="1:23" ht="23.25">
      <c r="A3" s="2332" t="s">
        <v>324</v>
      </c>
      <c r="B3" s="2333"/>
      <c r="C3" s="2333"/>
      <c r="D3" s="2333"/>
      <c r="E3" s="2333"/>
      <c r="F3" s="2333"/>
      <c r="G3" s="2333"/>
      <c r="H3" s="2333"/>
      <c r="I3" s="2333"/>
      <c r="J3" s="2333"/>
      <c r="K3" s="2333"/>
      <c r="L3" s="508"/>
      <c r="M3" s="233"/>
      <c r="N3" s="233"/>
      <c r="O3" s="233"/>
    </row>
    <row r="4" spans="1:23" ht="18.75">
      <c r="A4" s="509"/>
      <c r="B4" s="218"/>
      <c r="C4" s="218"/>
      <c r="D4" s="218"/>
      <c r="E4" s="218"/>
      <c r="F4" s="218"/>
      <c r="G4" s="218"/>
      <c r="H4" s="218"/>
      <c r="I4" s="218"/>
      <c r="J4" s="218"/>
      <c r="K4" s="218"/>
      <c r="L4" s="218"/>
      <c r="M4" s="218"/>
      <c r="N4" s="218"/>
      <c r="O4" s="218"/>
    </row>
    <row r="5" spans="1:23" ht="21.75" customHeight="1">
      <c r="A5" s="2334" t="s">
        <v>12</v>
      </c>
      <c r="B5" s="2334" t="s">
        <v>212</v>
      </c>
      <c r="C5" s="2334" t="s">
        <v>569</v>
      </c>
      <c r="D5" s="2301" t="s">
        <v>2292</v>
      </c>
      <c r="E5" s="2301" t="s">
        <v>2291</v>
      </c>
      <c r="F5" s="2301" t="s">
        <v>2290</v>
      </c>
      <c r="G5" s="2301" t="str">
        <f>"ТБР, "&amp;'0. Анкета'!C15-2&amp;" год"</f>
        <v>ТБР, 2022 год</v>
      </c>
      <c r="H5" s="2301" t="str">
        <f>"Факт, "&amp;'0. Анкета'!C15-2&amp;" год (отражен в отчете об исполнении сметы расходов)"</f>
        <v>Факт, 2022 год (отражен в отчете об исполнении сметы расходов)</v>
      </c>
      <c r="I5" s="2301" t="s">
        <v>570</v>
      </c>
      <c r="J5" s="2301" t="str">
        <f>"ТБР, "&amp;'0. Анкета'!C15-1&amp;" год"</f>
        <v>ТБР, 2023 год</v>
      </c>
      <c r="K5" s="2301" t="str">
        <f>'0. Анкета'!C15&amp;",  предложение ТСО"</f>
        <v>2024,  предложение ТСО</v>
      </c>
      <c r="L5" s="2301" t="s">
        <v>570</v>
      </c>
      <c r="M5" s="2301" t="str">
        <f>'0. Анкета'!C15-2&amp;",  факт регулятора"</f>
        <v>2022,  факт регулятора</v>
      </c>
      <c r="N5" s="2301" t="str">
        <f>'0. Анкета'!C15&amp;",  Версия регулятора"</f>
        <v>2024,  Версия регулятора</v>
      </c>
      <c r="O5" s="2301" t="s">
        <v>15</v>
      </c>
      <c r="P5" s="212"/>
      <c r="Q5" s="212"/>
      <c r="R5" s="212"/>
      <c r="S5" s="212"/>
      <c r="T5" s="212"/>
      <c r="U5" s="212"/>
      <c r="V5" s="212"/>
      <c r="W5" s="212"/>
    </row>
    <row r="6" spans="1:23" ht="32.25" customHeight="1">
      <c r="A6" s="2334"/>
      <c r="B6" s="2334"/>
      <c r="C6" s="2334"/>
      <c r="D6" s="2311"/>
      <c r="E6" s="2311"/>
      <c r="F6" s="2311"/>
      <c r="G6" s="2311"/>
      <c r="H6" s="2311"/>
      <c r="I6" s="2311"/>
      <c r="J6" s="2311"/>
      <c r="K6" s="2311"/>
      <c r="L6" s="2311"/>
      <c r="M6" s="2311"/>
      <c r="N6" s="2311"/>
      <c r="O6" s="2311"/>
      <c r="P6" s="212"/>
      <c r="Q6" s="212"/>
      <c r="R6" s="212"/>
      <c r="S6" s="212"/>
      <c r="T6" s="212"/>
      <c r="U6" s="212"/>
      <c r="V6" s="212"/>
      <c r="W6" s="212"/>
    </row>
    <row r="7" spans="1:23" ht="63" customHeight="1">
      <c r="A7" s="2334"/>
      <c r="B7" s="2334"/>
      <c r="C7" s="2334"/>
      <c r="D7" s="2302"/>
      <c r="E7" s="2302"/>
      <c r="F7" s="2302"/>
      <c r="G7" s="2302"/>
      <c r="H7" s="2302"/>
      <c r="I7" s="2302"/>
      <c r="J7" s="2302"/>
      <c r="K7" s="2302"/>
      <c r="L7" s="2302"/>
      <c r="M7" s="2302"/>
      <c r="N7" s="2302"/>
      <c r="O7" s="2302"/>
      <c r="P7" s="212"/>
      <c r="Q7" s="212"/>
      <c r="R7" s="212"/>
      <c r="S7" s="212"/>
      <c r="T7" s="212"/>
      <c r="U7" s="212"/>
      <c r="V7" s="212"/>
      <c r="W7" s="212"/>
    </row>
    <row r="8" spans="1:23" ht="15.75" customHeight="1">
      <c r="A8" s="510">
        <v>1</v>
      </c>
      <c r="B8" s="510">
        <f>A8+1</f>
        <v>2</v>
      </c>
      <c r="C8" s="510">
        <f>B8+1</f>
        <v>3</v>
      </c>
      <c r="D8" s="510"/>
      <c r="E8" s="510"/>
      <c r="F8" s="510"/>
      <c r="G8" s="510">
        <v>4</v>
      </c>
      <c r="H8" s="510">
        <f>G8+1</f>
        <v>5</v>
      </c>
      <c r="I8" s="510">
        <f t="shared" ref="I8:O8" si="0">H8+1</f>
        <v>6</v>
      </c>
      <c r="J8" s="510">
        <f t="shared" si="0"/>
        <v>7</v>
      </c>
      <c r="K8" s="510">
        <f t="shared" si="0"/>
        <v>8</v>
      </c>
      <c r="L8" s="510">
        <f t="shared" si="0"/>
        <v>9</v>
      </c>
      <c r="M8" s="510">
        <f t="shared" si="0"/>
        <v>10</v>
      </c>
      <c r="N8" s="510">
        <f t="shared" si="0"/>
        <v>11</v>
      </c>
      <c r="O8" s="510">
        <f t="shared" si="0"/>
        <v>12</v>
      </c>
      <c r="P8" s="212"/>
      <c r="Q8" s="212"/>
      <c r="R8" s="212"/>
      <c r="S8" s="212"/>
      <c r="T8" s="212"/>
      <c r="U8" s="212"/>
      <c r="V8" s="212"/>
      <c r="W8" s="212"/>
    </row>
    <row r="9" spans="1:23" ht="15.75">
      <c r="A9" s="214" t="s">
        <v>234</v>
      </c>
      <c r="B9" s="511" t="s">
        <v>571</v>
      </c>
      <c r="C9" s="511"/>
      <c r="D9" s="511"/>
      <c r="E9" s="511"/>
      <c r="F9" s="511"/>
      <c r="G9" s="512"/>
      <c r="H9" s="512"/>
      <c r="I9" s="512"/>
      <c r="J9" s="512"/>
      <c r="K9" s="512"/>
      <c r="L9" s="512"/>
      <c r="M9" s="512"/>
      <c r="N9" s="512"/>
      <c r="O9" s="512"/>
      <c r="P9" s="212"/>
      <c r="Q9" s="212"/>
      <c r="R9" s="212"/>
      <c r="S9" s="212"/>
      <c r="T9" s="212"/>
      <c r="U9" s="212"/>
      <c r="V9" s="212"/>
      <c r="W9" s="212"/>
    </row>
    <row r="10" spans="1:23" ht="15.75">
      <c r="A10" s="513" t="s">
        <v>267</v>
      </c>
      <c r="B10" s="514" t="s">
        <v>572</v>
      </c>
      <c r="C10" s="515" t="s">
        <v>573</v>
      </c>
      <c r="D10" s="515"/>
      <c r="E10" s="515"/>
      <c r="F10" s="515"/>
      <c r="G10" s="516"/>
      <c r="H10" s="516"/>
      <c r="I10" s="516"/>
      <c r="J10" s="516"/>
      <c r="K10" s="516"/>
      <c r="L10" s="516"/>
      <c r="M10" s="516"/>
      <c r="N10" s="516"/>
      <c r="O10" s="516"/>
      <c r="P10" s="212"/>
      <c r="Q10" s="212"/>
      <c r="R10" s="212"/>
      <c r="S10" s="212"/>
      <c r="T10" s="212"/>
      <c r="U10" s="212"/>
      <c r="V10" s="212"/>
      <c r="W10" s="212"/>
    </row>
    <row r="11" spans="1:23" ht="15.6" hidden="1" customHeight="1">
      <c r="A11" s="513"/>
      <c r="B11" s="514"/>
      <c r="C11" s="515"/>
      <c r="D11" s="515"/>
      <c r="E11" s="515"/>
      <c r="F11" s="515"/>
      <c r="G11" s="516"/>
      <c r="H11" s="516"/>
      <c r="I11" s="516"/>
      <c r="J11" s="516"/>
      <c r="K11" s="516"/>
      <c r="L11" s="516"/>
      <c r="M11" s="516"/>
      <c r="N11" s="516"/>
      <c r="O11" s="516"/>
      <c r="P11" s="212"/>
      <c r="Q11" s="212"/>
      <c r="R11" s="212"/>
      <c r="S11" s="212"/>
      <c r="T11" s="212"/>
      <c r="U11" s="212"/>
      <c r="V11" s="212"/>
      <c r="W11" s="212"/>
    </row>
    <row r="12" spans="1:23" ht="15.6" hidden="1" customHeight="1">
      <c r="A12" s="513"/>
      <c r="B12" s="514"/>
      <c r="C12" s="515"/>
      <c r="D12" s="515"/>
      <c r="E12" s="515"/>
      <c r="F12" s="515"/>
      <c r="G12" s="516"/>
      <c r="H12" s="516"/>
      <c r="I12" s="516"/>
      <c r="J12" s="516"/>
      <c r="K12" s="516"/>
      <c r="L12" s="516"/>
      <c r="M12" s="516"/>
      <c r="N12" s="516"/>
      <c r="O12" s="516"/>
      <c r="P12" s="212"/>
      <c r="Q12" s="212"/>
      <c r="R12" s="212"/>
      <c r="S12" s="212"/>
      <c r="T12" s="212"/>
      <c r="U12" s="212"/>
      <c r="V12" s="212"/>
      <c r="W12" s="212"/>
    </row>
    <row r="13" spans="1:23" ht="15.75" hidden="1">
      <c r="A13" s="513"/>
      <c r="B13" s="514"/>
      <c r="C13" s="515"/>
      <c r="D13" s="515"/>
      <c r="E13" s="515"/>
      <c r="F13" s="515"/>
      <c r="G13" s="516"/>
      <c r="H13" s="516"/>
      <c r="I13" s="516"/>
      <c r="J13" s="516"/>
      <c r="K13" s="516"/>
      <c r="L13" s="516"/>
      <c r="M13" s="516"/>
      <c r="N13" s="516"/>
      <c r="O13" s="516"/>
      <c r="P13" s="212"/>
      <c r="Q13" s="212"/>
      <c r="R13" s="212"/>
      <c r="S13" s="212"/>
      <c r="T13" s="212"/>
      <c r="U13" s="212"/>
      <c r="V13" s="212"/>
      <c r="W13" s="212"/>
    </row>
    <row r="14" spans="1:23" ht="15.75">
      <c r="A14" s="513" t="s">
        <v>269</v>
      </c>
      <c r="B14" s="514" t="s">
        <v>574</v>
      </c>
      <c r="C14" s="515" t="s">
        <v>573</v>
      </c>
      <c r="D14" s="515"/>
      <c r="E14" s="515"/>
      <c r="F14" s="515"/>
      <c r="G14" s="516"/>
      <c r="H14" s="516"/>
      <c r="I14" s="516"/>
      <c r="J14" s="516"/>
      <c r="K14" s="516"/>
      <c r="L14" s="516"/>
      <c r="M14" s="516"/>
      <c r="N14" s="516"/>
      <c r="O14" s="516"/>
      <c r="P14" s="212"/>
      <c r="Q14" s="212"/>
      <c r="R14" s="212"/>
      <c r="S14" s="212"/>
      <c r="T14" s="212"/>
      <c r="U14" s="212"/>
      <c r="V14" s="212"/>
      <c r="W14" s="212"/>
    </row>
    <row r="15" spans="1:23" ht="15.75">
      <c r="A15" s="513" t="s">
        <v>270</v>
      </c>
      <c r="B15" s="514" t="s">
        <v>575</v>
      </c>
      <c r="C15" s="515" t="s">
        <v>573</v>
      </c>
      <c r="D15" s="515"/>
      <c r="E15" s="515"/>
      <c r="F15" s="515"/>
      <c r="G15" s="516"/>
      <c r="H15" s="516"/>
      <c r="I15" s="516"/>
      <c r="J15" s="516"/>
      <c r="K15" s="516"/>
      <c r="L15" s="516"/>
      <c r="M15" s="516"/>
      <c r="N15" s="516"/>
      <c r="O15" s="516"/>
      <c r="P15" s="212"/>
      <c r="Q15" s="212"/>
      <c r="R15" s="212"/>
      <c r="S15" s="212"/>
      <c r="T15" s="212"/>
      <c r="U15" s="212"/>
      <c r="V15" s="212"/>
      <c r="W15" s="212"/>
    </row>
    <row r="16" spans="1:23" s="212" customFormat="1" ht="12.75">
      <c r="G16" s="517"/>
      <c r="H16" s="517"/>
      <c r="I16" s="517"/>
      <c r="J16" s="517"/>
      <c r="K16" s="517"/>
      <c r="L16" s="517"/>
      <c r="M16" s="517"/>
      <c r="N16" s="517"/>
      <c r="O16" s="517"/>
    </row>
    <row r="17" spans="1:23" ht="15.75">
      <c r="A17" s="214" t="s">
        <v>237</v>
      </c>
      <c r="B17" s="511" t="s">
        <v>576</v>
      </c>
      <c r="C17" s="511"/>
      <c r="D17" s="511"/>
      <c r="E17" s="511"/>
      <c r="F17" s="511"/>
      <c r="G17" s="518"/>
      <c r="H17" s="518"/>
      <c r="I17" s="518"/>
      <c r="J17" s="518"/>
      <c r="K17" s="518"/>
      <c r="L17" s="518"/>
      <c r="M17" s="518"/>
      <c r="N17" s="518"/>
      <c r="O17" s="518"/>
      <c r="P17" s="212"/>
      <c r="Q17" s="212"/>
      <c r="R17" s="212"/>
      <c r="S17" s="212"/>
      <c r="T17" s="212"/>
      <c r="U17" s="212"/>
      <c r="V17" s="212"/>
      <c r="W17" s="212"/>
    </row>
    <row r="18" spans="1:23" ht="15.75">
      <c r="A18" s="513" t="s">
        <v>520</v>
      </c>
      <c r="B18" s="514" t="s">
        <v>577</v>
      </c>
      <c r="C18" s="515" t="s">
        <v>578</v>
      </c>
      <c r="D18" s="515"/>
      <c r="E18" s="515"/>
      <c r="F18" s="515"/>
      <c r="G18" s="519"/>
      <c r="H18" s="520"/>
      <c r="I18" s="520"/>
      <c r="J18" s="519"/>
      <c r="K18" s="520"/>
      <c r="L18" s="520"/>
      <c r="M18" s="519"/>
      <c r="N18" s="520"/>
      <c r="O18" s="516"/>
      <c r="P18" s="212"/>
      <c r="Q18" s="212"/>
      <c r="R18" s="212"/>
      <c r="S18" s="212"/>
      <c r="T18" s="212"/>
      <c r="U18" s="212"/>
      <c r="V18" s="212"/>
      <c r="W18" s="212"/>
    </row>
    <row r="19" spans="1:23" ht="15.75">
      <c r="A19" s="513" t="s">
        <v>527</v>
      </c>
      <c r="B19" s="514" t="s">
        <v>579</v>
      </c>
      <c r="C19" s="515"/>
      <c r="D19" s="515"/>
      <c r="E19" s="515"/>
      <c r="F19" s="515"/>
      <c r="G19" s="519"/>
      <c r="H19" s="520"/>
      <c r="I19" s="520"/>
      <c r="J19" s="519"/>
      <c r="K19" s="520"/>
      <c r="L19" s="520"/>
      <c r="M19" s="519"/>
      <c r="N19" s="520"/>
      <c r="O19" s="516"/>
      <c r="P19" s="212"/>
      <c r="Q19" s="212"/>
      <c r="R19" s="212"/>
      <c r="S19" s="212"/>
      <c r="T19" s="212"/>
      <c r="U19" s="212"/>
      <c r="V19" s="212"/>
      <c r="W19" s="212"/>
    </row>
    <row r="20" spans="1:23" ht="31.5">
      <c r="A20" s="513" t="s">
        <v>533</v>
      </c>
      <c r="B20" s="514" t="s">
        <v>580</v>
      </c>
      <c r="C20" s="515"/>
      <c r="D20" s="515"/>
      <c r="E20" s="515"/>
      <c r="F20" s="515"/>
      <c r="G20" s="519"/>
      <c r="H20" s="520"/>
      <c r="I20" s="520"/>
      <c r="J20" s="519"/>
      <c r="K20" s="520"/>
      <c r="L20" s="520"/>
      <c r="M20" s="519"/>
      <c r="N20" s="520"/>
      <c r="O20" s="516"/>
      <c r="P20" s="212"/>
      <c r="Q20" s="212"/>
      <c r="R20" s="212"/>
      <c r="S20" s="212"/>
      <c r="T20" s="212"/>
      <c r="U20" s="212"/>
      <c r="V20" s="212"/>
      <c r="W20" s="212"/>
    </row>
    <row r="21" spans="1:23" ht="15.75">
      <c r="A21" s="513" t="s">
        <v>581</v>
      </c>
      <c r="B21" s="514" t="s">
        <v>582</v>
      </c>
      <c r="C21" s="515" t="s">
        <v>578</v>
      </c>
      <c r="D21" s="515"/>
      <c r="E21" s="515"/>
      <c r="F21" s="515"/>
      <c r="G21" s="519"/>
      <c r="H21" s="520"/>
      <c r="I21" s="520"/>
      <c r="J21" s="519"/>
      <c r="K21" s="521">
        <f>K18*K20</f>
        <v>0</v>
      </c>
      <c r="L21" s="520"/>
      <c r="M21" s="519"/>
      <c r="N21" s="521">
        <f>N18*N20</f>
        <v>0</v>
      </c>
      <c r="O21" s="516"/>
      <c r="P21" s="212"/>
      <c r="Q21" s="212"/>
      <c r="R21" s="212"/>
      <c r="S21" s="212"/>
      <c r="T21" s="212"/>
      <c r="U21" s="212"/>
      <c r="V21" s="212"/>
      <c r="W21" s="212"/>
    </row>
    <row r="22" spans="1:23" ht="31.5">
      <c r="A22" s="513" t="s">
        <v>583</v>
      </c>
      <c r="B22" s="514" t="s">
        <v>584</v>
      </c>
      <c r="C22" s="515"/>
      <c r="D22" s="515"/>
      <c r="E22" s="515"/>
      <c r="F22" s="515"/>
      <c r="G22" s="522"/>
      <c r="H22" s="522"/>
      <c r="I22" s="522"/>
      <c r="J22" s="522"/>
      <c r="K22" s="522"/>
      <c r="L22" s="522"/>
      <c r="M22" s="522"/>
      <c r="N22" s="522"/>
      <c r="O22" s="522"/>
      <c r="P22" s="212"/>
      <c r="Q22" s="212"/>
      <c r="R22" s="212"/>
      <c r="S22" s="212"/>
      <c r="T22" s="212"/>
      <c r="U22" s="212"/>
      <c r="V22" s="212"/>
      <c r="W22" s="212"/>
    </row>
    <row r="23" spans="1:23" ht="15.75">
      <c r="A23" s="513"/>
      <c r="B23" s="514" t="s">
        <v>585</v>
      </c>
      <c r="C23" s="515" t="s">
        <v>268</v>
      </c>
      <c r="D23" s="515"/>
      <c r="E23" s="515"/>
      <c r="F23" s="515"/>
      <c r="G23" s="519"/>
      <c r="H23" s="519"/>
      <c r="I23" s="519"/>
      <c r="J23" s="519"/>
      <c r="K23" s="523"/>
      <c r="L23" s="523"/>
      <c r="M23" s="519"/>
      <c r="N23" s="523"/>
      <c r="O23" s="516"/>
      <c r="P23" s="212"/>
      <c r="Q23" s="212"/>
      <c r="R23" s="212"/>
      <c r="S23" s="212"/>
      <c r="T23" s="212"/>
      <c r="U23" s="212"/>
      <c r="V23" s="212"/>
      <c r="W23" s="212"/>
    </row>
    <row r="24" spans="1:23" ht="15.75">
      <c r="A24" s="513"/>
      <c r="B24" s="514" t="s">
        <v>586</v>
      </c>
      <c r="C24" s="515" t="s">
        <v>578</v>
      </c>
      <c r="D24" s="515"/>
      <c r="E24" s="515"/>
      <c r="F24" s="515"/>
      <c r="G24" s="519"/>
      <c r="H24" s="520"/>
      <c r="I24" s="520"/>
      <c r="J24" s="519"/>
      <c r="K24" s="521">
        <f>K$21*K23</f>
        <v>0</v>
      </c>
      <c r="L24" s="520"/>
      <c r="M24" s="519"/>
      <c r="N24" s="521">
        <f>N$21*N23</f>
        <v>0</v>
      </c>
      <c r="O24" s="516"/>
      <c r="P24" s="212"/>
      <c r="Q24" s="212"/>
      <c r="R24" s="212"/>
      <c r="S24" s="212"/>
      <c r="T24" s="212"/>
      <c r="U24" s="212"/>
      <c r="V24" s="212"/>
      <c r="W24" s="212"/>
    </row>
    <row r="25" spans="1:23" ht="15.75">
      <c r="A25" s="513" t="s">
        <v>587</v>
      </c>
      <c r="B25" s="514" t="s">
        <v>588</v>
      </c>
      <c r="C25" s="515"/>
      <c r="D25" s="515"/>
      <c r="E25" s="515"/>
      <c r="F25" s="515"/>
      <c r="G25" s="522"/>
      <c r="H25" s="522"/>
      <c r="I25" s="522"/>
      <c r="J25" s="522"/>
      <c r="K25" s="522"/>
      <c r="L25" s="522"/>
      <c r="M25" s="522"/>
      <c r="N25" s="522"/>
      <c r="O25" s="522"/>
      <c r="P25" s="212"/>
      <c r="Q25" s="212"/>
      <c r="R25" s="212"/>
      <c r="S25" s="212"/>
      <c r="T25" s="212"/>
      <c r="U25" s="212"/>
      <c r="V25" s="212"/>
      <c r="W25" s="212"/>
    </row>
    <row r="26" spans="1:23" ht="15.75">
      <c r="A26" s="513"/>
      <c r="B26" s="514" t="s">
        <v>585</v>
      </c>
      <c r="C26" s="515" t="s">
        <v>268</v>
      </c>
      <c r="D26" s="515"/>
      <c r="E26" s="515"/>
      <c r="F26" s="515"/>
      <c r="G26" s="519"/>
      <c r="H26" s="519"/>
      <c r="I26" s="519"/>
      <c r="J26" s="519"/>
      <c r="K26" s="523"/>
      <c r="L26" s="523"/>
      <c r="M26" s="519"/>
      <c r="N26" s="523"/>
      <c r="O26" s="516"/>
      <c r="P26" s="212"/>
      <c r="Q26" s="212"/>
      <c r="R26" s="212"/>
      <c r="S26" s="212"/>
      <c r="T26" s="212"/>
      <c r="U26" s="212"/>
      <c r="V26" s="212"/>
      <c r="W26" s="212"/>
    </row>
    <row r="27" spans="1:23" ht="15.75">
      <c r="A27" s="513"/>
      <c r="B27" s="514" t="s">
        <v>586</v>
      </c>
      <c r="C27" s="515" t="s">
        <v>578</v>
      </c>
      <c r="D27" s="515"/>
      <c r="E27" s="515"/>
      <c r="F27" s="515"/>
      <c r="G27" s="519"/>
      <c r="H27" s="520"/>
      <c r="I27" s="520"/>
      <c r="J27" s="519"/>
      <c r="K27" s="521">
        <f>(K$21+K$24)*K26</f>
        <v>0</v>
      </c>
      <c r="L27" s="520"/>
      <c r="M27" s="519"/>
      <c r="N27" s="521">
        <f>(N$21+N$24)*N26</f>
        <v>0</v>
      </c>
      <c r="O27" s="516"/>
      <c r="P27" s="212"/>
      <c r="Q27" s="212"/>
      <c r="R27" s="212"/>
      <c r="S27" s="212"/>
      <c r="T27" s="212"/>
      <c r="U27" s="212"/>
      <c r="V27" s="212"/>
      <c r="W27" s="212"/>
    </row>
    <row r="28" spans="1:23" ht="15.75">
      <c r="A28" s="513" t="s">
        <v>589</v>
      </c>
      <c r="B28" s="514" t="s">
        <v>590</v>
      </c>
      <c r="C28" s="515"/>
      <c r="D28" s="515"/>
      <c r="E28" s="515"/>
      <c r="F28" s="515"/>
      <c r="G28" s="522"/>
      <c r="H28" s="522"/>
      <c r="I28" s="522"/>
      <c r="J28" s="522"/>
      <c r="K28" s="522"/>
      <c r="L28" s="522"/>
      <c r="M28" s="522"/>
      <c r="N28" s="522"/>
      <c r="O28" s="522"/>
      <c r="P28" s="212"/>
      <c r="Q28" s="212"/>
      <c r="R28" s="212"/>
      <c r="S28" s="212"/>
      <c r="T28" s="212"/>
      <c r="U28" s="212"/>
      <c r="V28" s="212"/>
      <c r="W28" s="212"/>
    </row>
    <row r="29" spans="1:23" ht="15.75">
      <c r="A29" s="513"/>
      <c r="B29" s="514" t="s">
        <v>585</v>
      </c>
      <c r="C29" s="515" t="s">
        <v>268</v>
      </c>
      <c r="D29" s="515"/>
      <c r="E29" s="515"/>
      <c r="F29" s="515"/>
      <c r="G29" s="519"/>
      <c r="H29" s="519"/>
      <c r="I29" s="519"/>
      <c r="J29" s="519"/>
      <c r="K29" s="523"/>
      <c r="L29" s="523"/>
      <c r="M29" s="519"/>
      <c r="N29" s="523"/>
      <c r="O29" s="516"/>
      <c r="P29" s="212"/>
      <c r="Q29" s="212"/>
      <c r="R29" s="212"/>
      <c r="S29" s="212"/>
      <c r="T29" s="212"/>
      <c r="U29" s="212"/>
      <c r="V29" s="212"/>
      <c r="W29" s="212"/>
    </row>
    <row r="30" spans="1:23" ht="15.75">
      <c r="A30" s="513"/>
      <c r="B30" s="514" t="s">
        <v>586</v>
      </c>
      <c r="C30" s="515" t="s">
        <v>578</v>
      </c>
      <c r="D30" s="515"/>
      <c r="E30" s="515"/>
      <c r="F30" s="515"/>
      <c r="G30" s="519"/>
      <c r="H30" s="520"/>
      <c r="I30" s="520"/>
      <c r="J30" s="519"/>
      <c r="K30" s="521">
        <f>K$21*K29</f>
        <v>0</v>
      </c>
      <c r="L30" s="520"/>
      <c r="M30" s="519"/>
      <c r="N30" s="521">
        <f>N$21*N29</f>
        <v>0</v>
      </c>
      <c r="O30" s="516"/>
      <c r="P30" s="212"/>
      <c r="Q30" s="212"/>
      <c r="R30" s="212"/>
      <c r="S30" s="212"/>
      <c r="T30" s="212"/>
      <c r="U30" s="212"/>
      <c r="V30" s="212"/>
      <c r="W30" s="212"/>
    </row>
    <row r="31" spans="1:23" ht="15.75">
      <c r="A31" s="513" t="s">
        <v>591</v>
      </c>
      <c r="B31" s="514" t="s">
        <v>592</v>
      </c>
      <c r="C31" s="515"/>
      <c r="D31" s="515"/>
      <c r="E31" s="515"/>
      <c r="F31" s="515"/>
      <c r="G31" s="522"/>
      <c r="H31" s="522"/>
      <c r="I31" s="522"/>
      <c r="J31" s="522"/>
      <c r="K31" s="522"/>
      <c r="L31" s="522"/>
      <c r="M31" s="522"/>
      <c r="N31" s="522"/>
      <c r="O31" s="522"/>
      <c r="P31" s="212"/>
      <c r="Q31" s="212"/>
      <c r="R31" s="212"/>
      <c r="S31" s="212"/>
      <c r="T31" s="212"/>
      <c r="U31" s="212"/>
      <c r="V31" s="212"/>
      <c r="W31" s="212"/>
    </row>
    <row r="32" spans="1:23" ht="15.75">
      <c r="A32" s="513"/>
      <c r="B32" s="514" t="s">
        <v>585</v>
      </c>
      <c r="C32" s="515" t="s">
        <v>268</v>
      </c>
      <c r="D32" s="515"/>
      <c r="E32" s="515"/>
      <c r="F32" s="515"/>
      <c r="G32" s="519"/>
      <c r="H32" s="519"/>
      <c r="I32" s="519"/>
      <c r="J32" s="519"/>
      <c r="K32" s="523"/>
      <c r="L32" s="523"/>
      <c r="M32" s="519"/>
      <c r="N32" s="523"/>
      <c r="O32" s="516"/>
      <c r="P32" s="212"/>
      <c r="Q32" s="212"/>
      <c r="R32" s="212"/>
      <c r="S32" s="212"/>
      <c r="T32" s="212"/>
      <c r="U32" s="212"/>
      <c r="V32" s="212"/>
      <c r="W32" s="212"/>
    </row>
    <row r="33" spans="1:23" ht="15.75">
      <c r="A33" s="513"/>
      <c r="B33" s="514" t="s">
        <v>586</v>
      </c>
      <c r="C33" s="515" t="s">
        <v>578</v>
      </c>
      <c r="D33" s="515"/>
      <c r="E33" s="515"/>
      <c r="F33" s="515"/>
      <c r="G33" s="519"/>
      <c r="H33" s="520"/>
      <c r="I33" s="520"/>
      <c r="J33" s="519"/>
      <c r="K33" s="521">
        <f>K$21*K32</f>
        <v>0</v>
      </c>
      <c r="L33" s="520"/>
      <c r="M33" s="519"/>
      <c r="N33" s="521">
        <f>N$21*N32</f>
        <v>0</v>
      </c>
      <c r="O33" s="516"/>
      <c r="P33" s="212"/>
      <c r="Q33" s="212"/>
      <c r="R33" s="212"/>
      <c r="S33" s="212"/>
      <c r="T33" s="212"/>
      <c r="U33" s="212"/>
      <c r="V33" s="212"/>
      <c r="W33" s="212"/>
    </row>
    <row r="34" spans="1:23" ht="15.75">
      <c r="A34" s="513" t="s">
        <v>593</v>
      </c>
      <c r="B34" s="524" t="s">
        <v>594</v>
      </c>
      <c r="C34" s="515"/>
      <c r="D34" s="515"/>
      <c r="E34" s="515"/>
      <c r="F34" s="515"/>
      <c r="G34" s="522"/>
      <c r="H34" s="522"/>
      <c r="I34" s="522"/>
      <c r="J34" s="522"/>
      <c r="K34" s="522"/>
      <c r="L34" s="522"/>
      <c r="M34" s="522"/>
      <c r="N34" s="522"/>
      <c r="O34" s="522"/>
      <c r="P34" s="212"/>
      <c r="Q34" s="212"/>
      <c r="R34" s="212"/>
      <c r="S34" s="212"/>
      <c r="T34" s="212"/>
      <c r="U34" s="212"/>
      <c r="V34" s="212"/>
      <c r="W34" s="212"/>
    </row>
    <row r="35" spans="1:23" ht="15.75">
      <c r="A35" s="513"/>
      <c r="B35" s="514" t="s">
        <v>585</v>
      </c>
      <c r="C35" s="515" t="s">
        <v>268</v>
      </c>
      <c r="D35" s="515"/>
      <c r="E35" s="515"/>
      <c r="F35" s="515"/>
      <c r="G35" s="519"/>
      <c r="H35" s="519"/>
      <c r="I35" s="519"/>
      <c r="J35" s="519"/>
      <c r="K35" s="523"/>
      <c r="L35" s="523"/>
      <c r="M35" s="519"/>
      <c r="N35" s="523"/>
      <c r="O35" s="516"/>
      <c r="P35" s="212"/>
      <c r="Q35" s="212"/>
      <c r="R35" s="212"/>
      <c r="S35" s="212"/>
      <c r="T35" s="212"/>
      <c r="U35" s="212"/>
      <c r="V35" s="212"/>
      <c r="W35" s="212"/>
    </row>
    <row r="36" spans="1:23" ht="15.75">
      <c r="A36" s="513"/>
      <c r="B36" s="514" t="s">
        <v>586</v>
      </c>
      <c r="C36" s="515" t="s">
        <v>578</v>
      </c>
      <c r="D36" s="515"/>
      <c r="E36" s="515"/>
      <c r="F36" s="515"/>
      <c r="G36" s="519"/>
      <c r="H36" s="520"/>
      <c r="I36" s="520"/>
      <c r="J36" s="519"/>
      <c r="K36" s="521">
        <f>K$21*K35</f>
        <v>0</v>
      </c>
      <c r="L36" s="520"/>
      <c r="M36" s="519"/>
      <c r="N36" s="521">
        <f>N$21*N35</f>
        <v>0</v>
      </c>
      <c r="O36" s="516"/>
      <c r="P36" s="212"/>
      <c r="Q36" s="212"/>
      <c r="R36" s="212"/>
      <c r="S36" s="212"/>
      <c r="T36" s="212"/>
      <c r="U36" s="212"/>
      <c r="V36" s="212"/>
      <c r="W36" s="212"/>
    </row>
    <row r="37" spans="1:23" ht="15.75">
      <c r="A37" s="513" t="s">
        <v>595</v>
      </c>
      <c r="B37" s="524" t="s">
        <v>594</v>
      </c>
      <c r="C37" s="515"/>
      <c r="D37" s="515"/>
      <c r="E37" s="515"/>
      <c r="F37" s="515"/>
      <c r="G37" s="522"/>
      <c r="H37" s="522"/>
      <c r="I37" s="522"/>
      <c r="J37" s="522"/>
      <c r="K37" s="522"/>
      <c r="L37" s="522"/>
      <c r="M37" s="522"/>
      <c r="N37" s="522"/>
      <c r="O37" s="522"/>
    </row>
    <row r="38" spans="1:23" ht="15.75">
      <c r="A38" s="513"/>
      <c r="B38" s="514" t="s">
        <v>585</v>
      </c>
      <c r="C38" s="515" t="s">
        <v>268</v>
      </c>
      <c r="D38" s="515"/>
      <c r="E38" s="515"/>
      <c r="F38" s="515"/>
      <c r="G38" s="519"/>
      <c r="H38" s="519"/>
      <c r="I38" s="519"/>
      <c r="J38" s="519"/>
      <c r="K38" s="523"/>
      <c r="L38" s="523"/>
      <c r="M38" s="519"/>
      <c r="N38" s="523"/>
      <c r="O38" s="516"/>
    </row>
    <row r="39" spans="1:23" ht="15.75">
      <c r="A39" s="513"/>
      <c r="B39" s="514" t="s">
        <v>586</v>
      </c>
      <c r="C39" s="515" t="s">
        <v>578</v>
      </c>
      <c r="D39" s="515"/>
      <c r="E39" s="515"/>
      <c r="F39" s="515"/>
      <c r="G39" s="519"/>
      <c r="H39" s="520"/>
      <c r="I39" s="520"/>
      <c r="J39" s="519"/>
      <c r="K39" s="521">
        <f>K$21*K38</f>
        <v>0</v>
      </c>
      <c r="L39" s="520"/>
      <c r="M39" s="519"/>
      <c r="N39" s="521">
        <f>N$21*N38</f>
        <v>0</v>
      </c>
      <c r="O39" s="516"/>
    </row>
    <row r="40" spans="1:23" ht="15.75">
      <c r="A40" s="513" t="s">
        <v>596</v>
      </c>
      <c r="B40" s="524" t="s">
        <v>594</v>
      </c>
      <c r="C40" s="515"/>
      <c r="D40" s="515"/>
      <c r="E40" s="515"/>
      <c r="F40" s="515"/>
      <c r="G40" s="522"/>
      <c r="H40" s="522"/>
      <c r="I40" s="522"/>
      <c r="J40" s="522"/>
      <c r="K40" s="522"/>
      <c r="L40" s="522"/>
      <c r="M40" s="522"/>
      <c r="N40" s="522"/>
      <c r="O40" s="522"/>
    </row>
    <row r="41" spans="1:23" ht="15.75">
      <c r="A41" s="513"/>
      <c r="B41" s="514" t="s">
        <v>585</v>
      </c>
      <c r="C41" s="515" t="s">
        <v>268</v>
      </c>
      <c r="D41" s="515"/>
      <c r="E41" s="515"/>
      <c r="F41" s="515"/>
      <c r="G41" s="519"/>
      <c r="H41" s="519"/>
      <c r="I41" s="519"/>
      <c r="J41" s="519"/>
      <c r="K41" s="523"/>
      <c r="L41" s="523"/>
      <c r="M41" s="519"/>
      <c r="N41" s="523"/>
      <c r="O41" s="516"/>
    </row>
    <row r="42" spans="1:23" ht="15.75">
      <c r="A42" s="513"/>
      <c r="B42" s="514" t="s">
        <v>586</v>
      </c>
      <c r="C42" s="515" t="s">
        <v>578</v>
      </c>
      <c r="D42" s="515"/>
      <c r="E42" s="515"/>
      <c r="F42" s="515"/>
      <c r="G42" s="519"/>
      <c r="H42" s="520"/>
      <c r="I42" s="520"/>
      <c r="J42" s="519"/>
      <c r="K42" s="521">
        <f>K$21*K41</f>
        <v>0</v>
      </c>
      <c r="L42" s="520"/>
      <c r="M42" s="519"/>
      <c r="N42" s="521">
        <f>N$21*N41</f>
        <v>0</v>
      </c>
      <c r="O42" s="516"/>
    </row>
    <row r="43" spans="1:23" s="212" customFormat="1" ht="12.75">
      <c r="G43" s="517"/>
      <c r="H43" s="517"/>
      <c r="I43" s="517"/>
      <c r="J43" s="517"/>
      <c r="K43" s="517"/>
      <c r="L43" s="517"/>
      <c r="M43" s="517"/>
      <c r="N43" s="517"/>
      <c r="O43" s="517"/>
    </row>
    <row r="44" spans="1:23" ht="31.5">
      <c r="A44" s="214" t="s">
        <v>239</v>
      </c>
      <c r="B44" s="511" t="s">
        <v>597</v>
      </c>
      <c r="C44" s="525" t="s">
        <v>578</v>
      </c>
      <c r="D44" s="525"/>
      <c r="E44" s="525"/>
      <c r="F44" s="525"/>
      <c r="G44" s="526">
        <f>IF((G45*G15)=0,0,G47*1000/(G45*G15))</f>
        <v>0</v>
      </c>
      <c r="H44" s="526">
        <f>IF((H45*H15)=0,0,H47*1000/(H45*H15))</f>
        <v>0</v>
      </c>
      <c r="I44" s="520"/>
      <c r="J44" s="526">
        <f>IF((J45*J15)=0,0,J47*1000/(J45*J15))</f>
        <v>0</v>
      </c>
      <c r="K44" s="526">
        <f>SUM(K21,K24,K27,K30,K33,K36,K39,K42)</f>
        <v>0</v>
      </c>
      <c r="L44" s="520"/>
      <c r="M44" s="526">
        <f>IF((M45*M15)=0,0,M47*1000/(M45*M15))</f>
        <v>0</v>
      </c>
      <c r="N44" s="526">
        <f>SUM(N21,N24,N27,N30,N33,N36,N39,N42)</f>
        <v>0</v>
      </c>
      <c r="O44" s="526">
        <f>IF((O45*O15)=0,0,O47*1000/(O45*O15))</f>
        <v>0</v>
      </c>
    </row>
    <row r="45" spans="1:23" ht="15.75">
      <c r="A45" s="513"/>
      <c r="B45" s="514" t="s">
        <v>598</v>
      </c>
      <c r="C45" s="515"/>
      <c r="D45" s="515"/>
      <c r="E45" s="515"/>
      <c r="F45" s="515"/>
      <c r="G45" s="527"/>
      <c r="H45" s="527"/>
      <c r="I45" s="527"/>
      <c r="J45" s="527"/>
      <c r="K45" s="527"/>
      <c r="L45" s="527"/>
      <c r="M45" s="527"/>
      <c r="N45" s="527"/>
      <c r="O45" s="527"/>
    </row>
    <row r="46" spans="1:23" s="212" customFormat="1" ht="15" customHeight="1">
      <c r="G46" s="517"/>
      <c r="H46" s="517"/>
      <c r="I46" s="517"/>
      <c r="J46" s="517"/>
      <c r="K46" s="517"/>
      <c r="L46" s="517"/>
      <c r="M46" s="517"/>
      <c r="N46" s="517"/>
      <c r="O46" s="517"/>
    </row>
    <row r="47" spans="1:23" ht="15.75">
      <c r="A47" s="214" t="s">
        <v>242</v>
      </c>
      <c r="B47" s="511" t="s">
        <v>599</v>
      </c>
      <c r="C47" s="525" t="s">
        <v>600</v>
      </c>
      <c r="D47" s="525"/>
      <c r="E47" s="525"/>
      <c r="F47" s="525"/>
      <c r="G47" s="528"/>
      <c r="H47" s="528"/>
      <c r="I47" s="528"/>
      <c r="J47" s="528"/>
      <c r="K47" s="526">
        <f>K44*K45*K15/1000</f>
        <v>0</v>
      </c>
      <c r="L47" s="528"/>
      <c r="M47" s="528"/>
      <c r="N47" s="526">
        <f>N44*N45*N15/1000</f>
        <v>0</v>
      </c>
      <c r="O47" s="528"/>
    </row>
  </sheetData>
  <sheetProtection formatColumns="0" formatRows="0" insertHyperlinks="0"/>
  <mergeCells count="16">
    <mergeCell ref="L5:L7"/>
    <mergeCell ref="M5:M7"/>
    <mergeCell ref="N5:N7"/>
    <mergeCell ref="O5:O7"/>
    <mergeCell ref="A3:K3"/>
    <mergeCell ref="A5:A7"/>
    <mergeCell ref="B5:B7"/>
    <mergeCell ref="C5:C7"/>
    <mergeCell ref="G5:G7"/>
    <mergeCell ref="H5:H7"/>
    <mergeCell ref="I5:I7"/>
    <mergeCell ref="J5:J7"/>
    <mergeCell ref="K5:K7"/>
    <mergeCell ref="F5:F7"/>
    <mergeCell ref="E5:E7"/>
    <mergeCell ref="D5:D7"/>
  </mergeCells>
  <hyperlinks>
    <hyperlink ref="A1" location="'Перечень форм для заполнения'!A1" display="Вернуться к перечню форм"/>
  </hyperlinks>
  <pageMargins left="0.7" right="0.2" top="0.75" bottom="0.75" header="0.3" footer="0.3"/>
  <pageSetup paperSize="9" scale="4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92D050"/>
    <outlinePr summaryBelow="0" summaryRight="0"/>
    <pageSetUpPr fitToPage="1"/>
  </sheetPr>
  <dimension ref="B1:U104"/>
  <sheetViews>
    <sheetView showGridLines="0" zoomScale="85" zoomScaleNormal="85" zoomScaleSheetLayoutView="100" workbookViewId="0">
      <pane xSplit="5" ySplit="9" topLeftCell="M71" activePane="bottomRight" state="frozen"/>
      <selection activeCell="F44" sqref="F44"/>
      <selection pane="topRight" activeCell="F44" sqref="F44"/>
      <selection pane="bottomLeft" activeCell="F44" sqref="F44"/>
      <selection pane="bottomRight" activeCell="Y82" sqref="Y82"/>
    </sheetView>
  </sheetViews>
  <sheetFormatPr defaultColWidth="8.7109375" defaultRowHeight="12.75" outlineLevelRow="2" outlineLevelCol="1"/>
  <cols>
    <col min="1" max="1" width="3.7109375" style="233" customWidth="1"/>
    <col min="2" max="2" width="10.42578125" style="529" customWidth="1"/>
    <col min="3" max="3" width="12.7109375" style="529" customWidth="1"/>
    <col min="4" max="4" width="41.7109375" style="289" customWidth="1"/>
    <col min="5" max="5" width="29.42578125" style="233" customWidth="1"/>
    <col min="6" max="6" width="14.85546875" style="233" customWidth="1"/>
    <col min="7" max="7" width="23.85546875" style="233" customWidth="1"/>
    <col min="8" max="8" width="21.7109375" style="233" customWidth="1"/>
    <col min="9" max="10" width="18.140625" style="233" customWidth="1"/>
    <col min="11" max="14" width="21.7109375" style="233" customWidth="1"/>
    <col min="15" max="16" width="14.42578125" style="233" customWidth="1"/>
    <col min="17" max="17" width="16.85546875" style="391" customWidth="1" collapsed="1"/>
    <col min="18" max="18" width="23.85546875" style="233" hidden="1" customWidth="1" outlineLevel="1"/>
    <col min="19" max="19" width="14.42578125" style="233" hidden="1" customWidth="1" outlineLevel="1"/>
    <col min="20" max="20" width="16.85546875" style="391" hidden="1" customWidth="1" outlineLevel="1"/>
    <col min="21" max="16384" width="8.7109375" style="233"/>
  </cols>
  <sheetData>
    <row r="1" spans="2:21">
      <c r="B1" s="210" t="s">
        <v>210</v>
      </c>
      <c r="Q1" s="530"/>
      <c r="T1" s="530"/>
      <c r="U1" s="212"/>
    </row>
    <row r="2" spans="2:21">
      <c r="Q2" s="530"/>
      <c r="T2" s="530"/>
      <c r="U2" s="212"/>
    </row>
    <row r="3" spans="2:21" ht="20.25">
      <c r="B3" s="233"/>
      <c r="C3" s="2322" t="s">
        <v>601</v>
      </c>
      <c r="D3" s="2336"/>
      <c r="E3" s="2336"/>
      <c r="F3" s="2336"/>
      <c r="G3" s="2336"/>
      <c r="H3" s="2336"/>
      <c r="I3" s="2336"/>
      <c r="J3" s="2336"/>
      <c r="K3" s="2336"/>
      <c r="L3" s="2336"/>
      <c r="M3" s="2336"/>
      <c r="N3" s="2336"/>
      <c r="O3" s="2336"/>
      <c r="P3" s="531"/>
      <c r="Q3" s="530"/>
      <c r="R3" s="212"/>
      <c r="S3" s="531"/>
      <c r="T3" s="530"/>
      <c r="U3" s="212"/>
    </row>
    <row r="4" spans="2:21" ht="15.75">
      <c r="B4" s="532"/>
      <c r="C4" s="532"/>
      <c r="D4" s="452"/>
      <c r="E4" s="452"/>
      <c r="F4" s="452"/>
      <c r="G4" s="452"/>
      <c r="H4" s="452"/>
      <c r="I4" s="452"/>
      <c r="J4" s="452"/>
      <c r="K4" s="452"/>
      <c r="L4" s="452"/>
      <c r="M4" s="452"/>
      <c r="N4" s="452"/>
      <c r="O4" s="452"/>
      <c r="P4" s="452"/>
      <c r="Q4" s="530"/>
      <c r="R4" s="452"/>
      <c r="S4" s="452"/>
      <c r="T4" s="530"/>
      <c r="U4" s="212"/>
    </row>
    <row r="5" spans="2:21">
      <c r="D5" s="533"/>
      <c r="E5" s="396"/>
      <c r="F5" s="396"/>
      <c r="G5" s="396"/>
      <c r="H5" s="396"/>
      <c r="I5" s="396"/>
      <c r="J5" s="396"/>
      <c r="K5" s="396"/>
      <c r="L5" s="396"/>
      <c r="M5" s="396"/>
      <c r="N5" s="396"/>
      <c r="Q5" s="530"/>
      <c r="R5" s="396"/>
      <c r="T5" s="530"/>
    </row>
    <row r="6" spans="2:21" ht="28.35" customHeight="1">
      <c r="B6" s="2330" t="s">
        <v>602</v>
      </c>
      <c r="C6" s="2330" t="s">
        <v>603</v>
      </c>
      <c r="D6" s="2335" t="s">
        <v>604</v>
      </c>
      <c r="E6" s="2335" t="s">
        <v>506</v>
      </c>
      <c r="F6" s="2301" t="str">
        <f>"ТБР, "&amp;'0. Анкета'!C15-2&amp;" год"</f>
        <v>ТБР, 2022 год</v>
      </c>
      <c r="G6" s="2301" t="str">
        <f>"Факт, "&amp;'0. Анкета'!C15-2&amp;" год (отражен в отчете об исполнении сметы расходов)"</f>
        <v>Факт, 2022 год (отражен в отчете об исполнении сметы расходов)</v>
      </c>
      <c r="H6" s="2301" t="str">
        <f>"Факт, "&amp;'0. Анкета'!C15-2&amp;" год (подтвержденный первичными документами (договоры/акты и пр.))"</f>
        <v>Факт, 2022 год (подтвержденный первичными документами (договоры/акты и пр.))</v>
      </c>
      <c r="I6" s="2312" t="str">
        <f>"Факт, "&amp;'0. Анкета'!C15-2&amp;" год (подтвержденный  бухгалтерскими документами (оборотно-сальдовые ведомости, карточки счетов))"</f>
        <v>Факт, 2022 год (подтвержденный  бухгалтерскими документами (оборотно-сальдовые ведомости, карточки счетов))</v>
      </c>
      <c r="J6" s="2313"/>
      <c r="K6" s="2313"/>
      <c r="L6" s="2313"/>
      <c r="M6" s="2313"/>
      <c r="N6" s="2314"/>
      <c r="O6" s="2301" t="str">
        <f>"ТБР, "&amp;'0. Анкета'!C15-1&amp;" год"</f>
        <v>ТБР, 2023 год</v>
      </c>
      <c r="P6" s="2338" t="str">
        <f>'0. Анкета'!C15&amp;",  предложение ТСО"</f>
        <v>2024,  предложение ТСО</v>
      </c>
      <c r="Q6" s="2335" t="s">
        <v>605</v>
      </c>
      <c r="R6" s="2301" t="str">
        <f>'0. Анкета'!C15-2&amp;",  факт регулятора"</f>
        <v>2022,  факт регулятора</v>
      </c>
      <c r="S6" s="2301" t="str">
        <f>'0. Анкета'!C15&amp;",  Версия регулятора"</f>
        <v>2024,  Версия регулятора</v>
      </c>
      <c r="T6" s="2335" t="s">
        <v>2223</v>
      </c>
    </row>
    <row r="7" spans="2:21" ht="63.75">
      <c r="B7" s="2330"/>
      <c r="C7" s="2330"/>
      <c r="D7" s="2335"/>
      <c r="E7" s="2335"/>
      <c r="F7" s="2302"/>
      <c r="G7" s="2302"/>
      <c r="H7" s="2302"/>
      <c r="I7" s="534" t="s">
        <v>172</v>
      </c>
      <c r="J7" s="534" t="s">
        <v>413</v>
      </c>
      <c r="K7" s="397" t="s">
        <v>414</v>
      </c>
      <c r="L7" s="397" t="s">
        <v>415</v>
      </c>
      <c r="M7" s="397" t="s">
        <v>416</v>
      </c>
      <c r="N7" s="397" t="s">
        <v>415</v>
      </c>
      <c r="O7" s="2302"/>
      <c r="P7" s="2338"/>
      <c r="Q7" s="2335"/>
      <c r="R7" s="2302"/>
      <c r="S7" s="2302"/>
      <c r="T7" s="2335"/>
    </row>
    <row r="8" spans="2:21">
      <c r="B8" s="2330"/>
      <c r="C8" s="2330"/>
      <c r="D8" s="2335"/>
      <c r="E8" s="2335"/>
      <c r="F8" s="398" t="s">
        <v>226</v>
      </c>
      <c r="G8" s="398" t="s">
        <v>226</v>
      </c>
      <c r="H8" s="398" t="s">
        <v>226</v>
      </c>
      <c r="I8" s="398" t="s">
        <v>226</v>
      </c>
      <c r="J8" s="398" t="s">
        <v>226</v>
      </c>
      <c r="K8" s="398" t="s">
        <v>226</v>
      </c>
      <c r="L8" s="398" t="s">
        <v>268</v>
      </c>
      <c r="M8" s="398" t="s">
        <v>226</v>
      </c>
      <c r="N8" s="398" t="s">
        <v>268</v>
      </c>
      <c r="O8" s="398" t="s">
        <v>226</v>
      </c>
      <c r="P8" s="398" t="s">
        <v>226</v>
      </c>
      <c r="Q8" s="2335"/>
      <c r="R8" s="398" t="s">
        <v>226</v>
      </c>
      <c r="S8" s="398" t="s">
        <v>226</v>
      </c>
      <c r="T8" s="2335"/>
    </row>
    <row r="9" spans="2:21">
      <c r="B9" s="535">
        <v>1</v>
      </c>
      <c r="C9" s="535">
        <f>B9+1</f>
        <v>2</v>
      </c>
      <c r="D9" s="535">
        <f t="shared" ref="D9:R9" si="0">C9+1</f>
        <v>3</v>
      </c>
      <c r="E9" s="535">
        <f t="shared" si="0"/>
        <v>4</v>
      </c>
      <c r="F9" s="535">
        <f t="shared" si="0"/>
        <v>5</v>
      </c>
      <c r="G9" s="535">
        <f t="shared" si="0"/>
        <v>6</v>
      </c>
      <c r="H9" s="535">
        <f t="shared" si="0"/>
        <v>7</v>
      </c>
      <c r="I9" s="535">
        <f t="shared" si="0"/>
        <v>8</v>
      </c>
      <c r="J9" s="535">
        <f t="shared" si="0"/>
        <v>9</v>
      </c>
      <c r="K9" s="535">
        <f t="shared" si="0"/>
        <v>10</v>
      </c>
      <c r="L9" s="535">
        <v>11</v>
      </c>
      <c r="M9" s="535">
        <v>12</v>
      </c>
      <c r="N9" s="535">
        <v>13</v>
      </c>
      <c r="O9" s="535">
        <f t="shared" si="0"/>
        <v>14</v>
      </c>
      <c r="P9" s="401">
        <f t="shared" si="0"/>
        <v>15</v>
      </c>
      <c r="Q9" s="536">
        <f t="shared" si="0"/>
        <v>16</v>
      </c>
      <c r="R9" s="535">
        <f t="shared" si="0"/>
        <v>17</v>
      </c>
      <c r="S9" s="401">
        <f>R9+1</f>
        <v>18</v>
      </c>
      <c r="T9" s="536">
        <f>S9+1</f>
        <v>19</v>
      </c>
    </row>
    <row r="10" spans="2:21" ht="46.9" customHeight="1">
      <c r="B10" s="537">
        <v>1</v>
      </c>
      <c r="C10" s="537" t="s">
        <v>270</v>
      </c>
      <c r="D10" s="538" t="s">
        <v>606</v>
      </c>
      <c r="E10" s="539"/>
      <c r="F10" s="540">
        <f t="shared" ref="F10:K10" si="1">F11+F36+F40+F44+F69+F73+F77+F81</f>
        <v>0</v>
      </c>
      <c r="G10" s="540">
        <f t="shared" si="1"/>
        <v>0</v>
      </c>
      <c r="H10" s="540">
        <f t="shared" si="1"/>
        <v>0</v>
      </c>
      <c r="I10" s="540">
        <f t="shared" si="1"/>
        <v>0</v>
      </c>
      <c r="J10" s="541">
        <f t="shared" si="1"/>
        <v>0</v>
      </c>
      <c r="K10" s="541">
        <f t="shared" si="1"/>
        <v>0</v>
      </c>
      <c r="L10" s="542"/>
      <c r="M10" s="541">
        <f>M11+M36+M40+M44+M69+M73+M77+M81</f>
        <v>0</v>
      </c>
      <c r="N10" s="542"/>
      <c r="O10" s="540">
        <f>O11+O36+O40+O44+O69+O73+O77+O81</f>
        <v>0</v>
      </c>
      <c r="P10" s="540">
        <f>P11+P36+P40+P44+P69+P73+P77+P81</f>
        <v>0</v>
      </c>
      <c r="Q10" s="543"/>
      <c r="R10" s="540">
        <f>R11+R36+R40+R44+R69+R73+R77+R81</f>
        <v>0</v>
      </c>
      <c r="S10" s="540">
        <f>S11+S36+S40+S44+S69+S73+S77+S81</f>
        <v>0</v>
      </c>
      <c r="T10" s="543"/>
    </row>
    <row r="11" spans="2:21" ht="25.5">
      <c r="B11" s="544" t="s">
        <v>267</v>
      </c>
      <c r="C11" s="544" t="s">
        <v>277</v>
      </c>
      <c r="D11" s="457" t="s">
        <v>607</v>
      </c>
      <c r="E11" s="406"/>
      <c r="F11" s="404">
        <f t="shared" ref="F11:K11" si="2">SUM(F12,F16,F20,F24,F28,F32)</f>
        <v>0</v>
      </c>
      <c r="G11" s="404">
        <f t="shared" si="2"/>
        <v>0</v>
      </c>
      <c r="H11" s="404">
        <f t="shared" si="2"/>
        <v>0</v>
      </c>
      <c r="I11" s="404">
        <f t="shared" si="2"/>
        <v>0</v>
      </c>
      <c r="J11" s="460">
        <f t="shared" si="2"/>
        <v>0</v>
      </c>
      <c r="K11" s="460">
        <f t="shared" si="2"/>
        <v>0</v>
      </c>
      <c r="L11" s="542"/>
      <c r="M11" s="460">
        <f>SUM(M12,M16,M20,M24,M28,M32)</f>
        <v>0</v>
      </c>
      <c r="N11" s="542"/>
      <c r="O11" s="404">
        <f>SUM(O12,O16,O20,O24,O28,O32)</f>
        <v>0</v>
      </c>
      <c r="P11" s="404">
        <f>SUM(P12,P16,P20,P24,P28,P32)</f>
        <v>0</v>
      </c>
      <c r="Q11" s="413"/>
      <c r="R11" s="404">
        <f>SUM(R12,R16,R20,R24,R28,R32)</f>
        <v>0</v>
      </c>
      <c r="S11" s="404">
        <f>SUM(S12,S16,S20,S24,S28,S32)</f>
        <v>0</v>
      </c>
      <c r="T11" s="413"/>
    </row>
    <row r="12" spans="2:21" outlineLevel="1">
      <c r="B12" s="545" t="s">
        <v>608</v>
      </c>
      <c r="C12" s="545" t="s">
        <v>609</v>
      </c>
      <c r="D12" s="546" t="s">
        <v>610</v>
      </c>
      <c r="E12" s="415"/>
      <c r="F12" s="410"/>
      <c r="G12" s="411">
        <f>SUM(G13:G15)</f>
        <v>0</v>
      </c>
      <c r="H12" s="411">
        <f>SUM(H13:H15)</f>
        <v>0</v>
      </c>
      <c r="I12" s="411">
        <f>SUM(J12:K12)+M12</f>
        <v>0</v>
      </c>
      <c r="J12" s="463"/>
      <c r="K12" s="463"/>
      <c r="L12" s="412"/>
      <c r="M12" s="463"/>
      <c r="N12" s="542"/>
      <c r="O12" s="410"/>
      <c r="P12" s="411">
        <f>SUM(P13:P15)</f>
        <v>0</v>
      </c>
      <c r="Q12" s="406"/>
      <c r="R12" s="411">
        <f>SUM(R13:R15)</f>
        <v>0</v>
      </c>
      <c r="S12" s="411">
        <f>SUM(S13:S15)</f>
        <v>0</v>
      </c>
      <c r="T12" s="406"/>
    </row>
    <row r="13" spans="2:21" outlineLevel="1">
      <c r="B13" s="545" t="str">
        <f t="shared" ref="B13:B14" si="3">CONCATENATE(B$12,"",ROW()-ROW(B$12))</f>
        <v>1.1.1.1</v>
      </c>
      <c r="C13" s="547"/>
      <c r="D13" s="415"/>
      <c r="E13" s="415"/>
      <c r="F13" s="548"/>
      <c r="G13" s="410"/>
      <c r="H13" s="410"/>
      <c r="I13" s="549"/>
      <c r="J13" s="550"/>
      <c r="K13" s="550"/>
      <c r="L13" s="551"/>
      <c r="M13" s="550"/>
      <c r="N13" s="551"/>
      <c r="O13" s="549"/>
      <c r="P13" s="410"/>
      <c r="Q13" s="415"/>
      <c r="R13" s="410"/>
      <c r="S13" s="410"/>
      <c r="T13" s="413"/>
    </row>
    <row r="14" spans="2:21" outlineLevel="1">
      <c r="B14" s="545" t="str">
        <f t="shared" si="3"/>
        <v>1.1.1.2</v>
      </c>
      <c r="C14" s="547"/>
      <c r="D14" s="415"/>
      <c r="E14" s="415"/>
      <c r="F14" s="548"/>
      <c r="G14" s="410"/>
      <c r="H14" s="410"/>
      <c r="I14" s="549"/>
      <c r="J14" s="550"/>
      <c r="K14" s="550"/>
      <c r="L14" s="551"/>
      <c r="M14" s="550"/>
      <c r="N14" s="551"/>
      <c r="O14" s="549"/>
      <c r="P14" s="410"/>
      <c r="Q14" s="413"/>
      <c r="R14" s="410"/>
      <c r="S14" s="410"/>
      <c r="T14" s="413"/>
    </row>
    <row r="15" spans="2:21" ht="14.25" outlineLevel="1">
      <c r="B15" s="552"/>
      <c r="C15" s="552"/>
      <c r="D15" s="473" t="s">
        <v>7</v>
      </c>
      <c r="E15" s="415"/>
      <c r="F15" s="553"/>
      <c r="G15" s="553"/>
      <c r="H15" s="553"/>
      <c r="I15" s="554"/>
      <c r="J15" s="555"/>
      <c r="K15" s="555"/>
      <c r="L15" s="556"/>
      <c r="M15" s="555"/>
      <c r="N15" s="556"/>
      <c r="O15" s="554"/>
      <c r="P15" s="554"/>
      <c r="Q15" s="420"/>
      <c r="R15" s="554"/>
      <c r="S15" s="554"/>
      <c r="T15" s="420"/>
    </row>
    <row r="16" spans="2:21" ht="25.5" outlineLevel="1">
      <c r="B16" s="545" t="s">
        <v>611</v>
      </c>
      <c r="C16" s="545" t="s">
        <v>612</v>
      </c>
      <c r="D16" s="546" t="s">
        <v>613</v>
      </c>
      <c r="E16" s="415"/>
      <c r="F16" s="410"/>
      <c r="G16" s="411">
        <f>SUM(G17:G19)</f>
        <v>0</v>
      </c>
      <c r="H16" s="411">
        <f>SUM(H17:H19)</f>
        <v>0</v>
      </c>
      <c r="I16" s="411">
        <f>SUM(J16:K16)+M16</f>
        <v>0</v>
      </c>
      <c r="J16" s="557"/>
      <c r="K16" s="557"/>
      <c r="L16" s="558"/>
      <c r="M16" s="557"/>
      <c r="N16" s="558"/>
      <c r="O16" s="410"/>
      <c r="P16" s="411">
        <f>SUM(P17:P19)</f>
        <v>0</v>
      </c>
      <c r="Q16" s="406"/>
      <c r="R16" s="411">
        <f>SUM(R17:R19)</f>
        <v>0</v>
      </c>
      <c r="S16" s="411">
        <f>SUM(S17:S19)</f>
        <v>0</v>
      </c>
      <c r="T16" s="406"/>
    </row>
    <row r="17" spans="2:20" outlineLevel="1">
      <c r="B17" s="545" t="str">
        <f>CONCATENATE(B$16,"",ROW()-ROW(B$16))</f>
        <v>1.1.2.1</v>
      </c>
      <c r="C17" s="547"/>
      <c r="D17" s="415"/>
      <c r="E17" s="415"/>
      <c r="F17" s="548"/>
      <c r="G17" s="410"/>
      <c r="H17" s="410"/>
      <c r="I17" s="549"/>
      <c r="J17" s="550"/>
      <c r="K17" s="550"/>
      <c r="L17" s="551"/>
      <c r="M17" s="550"/>
      <c r="N17" s="551"/>
      <c r="O17" s="549"/>
      <c r="P17" s="410"/>
      <c r="Q17" s="413"/>
      <c r="R17" s="410"/>
      <c r="S17" s="410"/>
      <c r="T17" s="413"/>
    </row>
    <row r="18" spans="2:20" outlineLevel="1">
      <c r="B18" s="545" t="str">
        <f>CONCATENATE(B$16,"",ROW()-ROW(B$16))</f>
        <v>1.1.2.2</v>
      </c>
      <c r="C18" s="547"/>
      <c r="D18" s="415"/>
      <c r="E18" s="415"/>
      <c r="F18" s="548"/>
      <c r="G18" s="410"/>
      <c r="H18" s="410"/>
      <c r="I18" s="549"/>
      <c r="J18" s="550"/>
      <c r="K18" s="550"/>
      <c r="L18" s="551"/>
      <c r="M18" s="550"/>
      <c r="N18" s="551"/>
      <c r="O18" s="549"/>
      <c r="P18" s="410"/>
      <c r="Q18" s="413"/>
      <c r="R18" s="410"/>
      <c r="S18" s="410"/>
      <c r="T18" s="413"/>
    </row>
    <row r="19" spans="2:20" ht="14.25" outlineLevel="1">
      <c r="B19" s="552"/>
      <c r="C19" s="552"/>
      <c r="D19" s="473" t="s">
        <v>7</v>
      </c>
      <c r="E19" s="468"/>
      <c r="F19" s="553"/>
      <c r="G19" s="554"/>
      <c r="H19" s="554"/>
      <c r="I19" s="554"/>
      <c r="J19" s="554"/>
      <c r="K19" s="554"/>
      <c r="L19" s="554"/>
      <c r="M19" s="554"/>
      <c r="N19" s="554"/>
      <c r="O19" s="554"/>
      <c r="P19" s="554"/>
      <c r="Q19" s="420"/>
      <c r="R19" s="554"/>
      <c r="S19" s="554"/>
      <c r="T19" s="420"/>
    </row>
    <row r="20" spans="2:20" ht="25.5" outlineLevel="1">
      <c r="B20" s="545" t="s">
        <v>614</v>
      </c>
      <c r="C20" s="545" t="s">
        <v>615</v>
      </c>
      <c r="D20" s="546" t="s">
        <v>336</v>
      </c>
      <c r="E20" s="415"/>
      <c r="F20" s="410"/>
      <c r="G20" s="411">
        <f>SUM(G21:G23)</f>
        <v>0</v>
      </c>
      <c r="H20" s="411">
        <f>SUM(H21:H23)</f>
        <v>0</v>
      </c>
      <c r="I20" s="411">
        <f>SUM(J20:K20)+M20</f>
        <v>0</v>
      </c>
      <c r="J20" s="557"/>
      <c r="K20" s="557"/>
      <c r="L20" s="558"/>
      <c r="M20" s="557"/>
      <c r="N20" s="558"/>
      <c r="O20" s="410"/>
      <c r="P20" s="411">
        <f>SUM(P21:P23)</f>
        <v>0</v>
      </c>
      <c r="Q20" s="406"/>
      <c r="R20" s="411">
        <f>SUM(R21:R23)</f>
        <v>0</v>
      </c>
      <c r="S20" s="411">
        <f>SUM(S21:S23)</f>
        <v>0</v>
      </c>
      <c r="T20" s="406"/>
    </row>
    <row r="21" spans="2:20" outlineLevel="1">
      <c r="B21" s="545" t="str">
        <f t="shared" ref="B21:B22" si="4">CONCATENATE(B$20,"",ROW()-ROW(B$20))</f>
        <v>1.1.3.1</v>
      </c>
      <c r="C21" s="547"/>
      <c r="D21" s="415"/>
      <c r="E21" s="415"/>
      <c r="F21" s="548"/>
      <c r="G21" s="410"/>
      <c r="H21" s="410"/>
      <c r="I21" s="549"/>
      <c r="J21" s="550"/>
      <c r="K21" s="550"/>
      <c r="L21" s="551"/>
      <c r="M21" s="550"/>
      <c r="N21" s="551"/>
      <c r="O21" s="549"/>
      <c r="P21" s="410"/>
      <c r="Q21" s="415"/>
      <c r="R21" s="410"/>
      <c r="S21" s="410"/>
      <c r="T21" s="413"/>
    </row>
    <row r="22" spans="2:20" ht="49.9" customHeight="1" outlineLevel="1">
      <c r="B22" s="545" t="str">
        <f t="shared" si="4"/>
        <v>1.1.3.2</v>
      </c>
      <c r="C22" s="547"/>
      <c r="D22" s="415"/>
      <c r="E22" s="415"/>
      <c r="F22" s="548"/>
      <c r="G22" s="410"/>
      <c r="H22" s="410"/>
      <c r="I22" s="549"/>
      <c r="J22" s="550"/>
      <c r="K22" s="550"/>
      <c r="L22" s="551"/>
      <c r="M22" s="550"/>
      <c r="N22" s="551"/>
      <c r="O22" s="549"/>
      <c r="P22" s="410"/>
      <c r="Q22" s="413"/>
      <c r="R22" s="410"/>
      <c r="S22" s="410"/>
      <c r="T22" s="413"/>
    </row>
    <row r="23" spans="2:20" ht="14.25" outlineLevel="1">
      <c r="B23" s="552"/>
      <c r="C23" s="552"/>
      <c r="D23" s="473" t="s">
        <v>7</v>
      </c>
      <c r="E23" s="468"/>
      <c r="F23" s="553"/>
      <c r="G23" s="554"/>
      <c r="H23" s="554"/>
      <c r="I23" s="554"/>
      <c r="J23" s="555"/>
      <c r="K23" s="555"/>
      <c r="L23" s="556"/>
      <c r="M23" s="555"/>
      <c r="N23" s="556"/>
      <c r="O23" s="554"/>
      <c r="P23" s="554"/>
      <c r="Q23" s="420"/>
      <c r="R23" s="554"/>
      <c r="S23" s="554"/>
      <c r="T23" s="420"/>
    </row>
    <row r="24" spans="2:20" ht="25.5" outlineLevel="1">
      <c r="B24" s="545" t="s">
        <v>616</v>
      </c>
      <c r="C24" s="545" t="s">
        <v>617</v>
      </c>
      <c r="D24" s="546" t="s">
        <v>338</v>
      </c>
      <c r="E24" s="415"/>
      <c r="F24" s="410"/>
      <c r="G24" s="411">
        <f>SUM(G25:G27)</f>
        <v>0</v>
      </c>
      <c r="H24" s="411">
        <f>SUM(H25:H27)</f>
        <v>0</v>
      </c>
      <c r="I24" s="411">
        <f>SUM(J24:K24)+M24</f>
        <v>0</v>
      </c>
      <c r="J24" s="557"/>
      <c r="K24" s="557"/>
      <c r="L24" s="558"/>
      <c r="M24" s="557"/>
      <c r="N24" s="558"/>
      <c r="O24" s="410"/>
      <c r="P24" s="411">
        <f>SUM(P25:P27)</f>
        <v>0</v>
      </c>
      <c r="Q24" s="406"/>
      <c r="R24" s="411">
        <f>SUM(R25:R27)</f>
        <v>0</v>
      </c>
      <c r="S24" s="411">
        <f>SUM(S25:S27)</f>
        <v>0</v>
      </c>
      <c r="T24" s="406"/>
    </row>
    <row r="25" spans="2:20" outlineLevel="1">
      <c r="B25" s="545" t="str">
        <f t="shared" ref="B25:B26" si="5">CONCATENATE(B$24,"",ROW()-ROW(B$24))</f>
        <v>1.1.4.1</v>
      </c>
      <c r="C25" s="547"/>
      <c r="D25" s="415"/>
      <c r="E25" s="415"/>
      <c r="F25" s="548"/>
      <c r="G25" s="410"/>
      <c r="H25" s="410"/>
      <c r="I25" s="549"/>
      <c r="J25" s="550"/>
      <c r="K25" s="550"/>
      <c r="L25" s="551"/>
      <c r="M25" s="550"/>
      <c r="N25" s="551"/>
      <c r="O25" s="549"/>
      <c r="P25" s="410"/>
      <c r="Q25" s="413"/>
      <c r="R25" s="410"/>
      <c r="S25" s="410"/>
      <c r="T25" s="413"/>
    </row>
    <row r="26" spans="2:20" outlineLevel="1">
      <c r="B26" s="545" t="str">
        <f t="shared" si="5"/>
        <v>1.1.4.2</v>
      </c>
      <c r="C26" s="547"/>
      <c r="D26" s="415"/>
      <c r="E26" s="415"/>
      <c r="F26" s="548"/>
      <c r="G26" s="410"/>
      <c r="H26" s="410"/>
      <c r="I26" s="549"/>
      <c r="J26" s="550"/>
      <c r="K26" s="550"/>
      <c r="L26" s="551"/>
      <c r="M26" s="550"/>
      <c r="N26" s="551"/>
      <c r="O26" s="549"/>
      <c r="P26" s="410"/>
      <c r="Q26" s="413"/>
      <c r="R26" s="410"/>
      <c r="S26" s="410"/>
      <c r="T26" s="413"/>
    </row>
    <row r="27" spans="2:20" ht="14.25" outlineLevel="1">
      <c r="B27" s="552"/>
      <c r="C27" s="552"/>
      <c r="D27" s="473" t="s">
        <v>7</v>
      </c>
      <c r="E27" s="553"/>
      <c r="F27" s="553"/>
      <c r="G27" s="554"/>
      <c r="H27" s="554"/>
      <c r="I27" s="554"/>
      <c r="J27" s="555"/>
      <c r="K27" s="555"/>
      <c r="L27" s="556"/>
      <c r="M27" s="555"/>
      <c r="N27" s="556"/>
      <c r="O27" s="554"/>
      <c r="P27" s="554"/>
      <c r="Q27" s="420"/>
      <c r="R27" s="554"/>
      <c r="S27" s="554"/>
      <c r="T27" s="420"/>
    </row>
    <row r="28" spans="2:20" outlineLevel="1">
      <c r="B28" s="545" t="s">
        <v>618</v>
      </c>
      <c r="C28" s="545" t="s">
        <v>619</v>
      </c>
      <c r="D28" s="546" t="s">
        <v>620</v>
      </c>
      <c r="E28" s="415"/>
      <c r="F28" s="410"/>
      <c r="G28" s="411">
        <f>SUM(G29:G31)</f>
        <v>0</v>
      </c>
      <c r="H28" s="411">
        <f>SUM(H29:H31)</f>
        <v>0</v>
      </c>
      <c r="I28" s="411">
        <f>SUM(J28:K28)+M28</f>
        <v>0</v>
      </c>
      <c r="J28" s="557"/>
      <c r="K28" s="557"/>
      <c r="L28" s="558"/>
      <c r="M28" s="557"/>
      <c r="N28" s="558"/>
      <c r="O28" s="410"/>
      <c r="P28" s="411">
        <f>SUM(P29:P31)</f>
        <v>0</v>
      </c>
      <c r="Q28" s="406"/>
      <c r="R28" s="411">
        <f>SUM(R29:R31)</f>
        <v>0</v>
      </c>
      <c r="S28" s="411">
        <f>SUM(S29:S31)</f>
        <v>0</v>
      </c>
      <c r="T28" s="406"/>
    </row>
    <row r="29" spans="2:20" outlineLevel="1">
      <c r="B29" s="545" t="str">
        <f>CONCATENATE(B$28,"",ROW()-ROW(B$28))</f>
        <v>1.1.5.1</v>
      </c>
      <c r="C29" s="547"/>
      <c r="D29" s="415"/>
      <c r="E29" s="415"/>
      <c r="F29" s="548"/>
      <c r="G29" s="410"/>
      <c r="H29" s="410"/>
      <c r="I29" s="549"/>
      <c r="J29" s="550"/>
      <c r="K29" s="550"/>
      <c r="L29" s="551"/>
      <c r="M29" s="550"/>
      <c r="N29" s="551"/>
      <c r="O29" s="549"/>
      <c r="P29" s="410"/>
      <c r="Q29" s="413"/>
      <c r="R29" s="410"/>
      <c r="S29" s="410"/>
      <c r="T29" s="413"/>
    </row>
    <row r="30" spans="2:20" outlineLevel="1">
      <c r="B30" s="545" t="str">
        <f>CONCATENATE(B$28,"",ROW()-ROW(B$28))</f>
        <v>1.1.5.2</v>
      </c>
      <c r="C30" s="547"/>
      <c r="D30" s="415"/>
      <c r="E30" s="415"/>
      <c r="F30" s="548"/>
      <c r="G30" s="410"/>
      <c r="H30" s="410"/>
      <c r="I30" s="549"/>
      <c r="J30" s="550"/>
      <c r="K30" s="550"/>
      <c r="L30" s="551"/>
      <c r="M30" s="550"/>
      <c r="N30" s="551"/>
      <c r="O30" s="549"/>
      <c r="P30" s="410"/>
      <c r="Q30" s="413"/>
      <c r="R30" s="410"/>
      <c r="S30" s="410"/>
      <c r="T30" s="413"/>
    </row>
    <row r="31" spans="2:20" ht="14.25" outlineLevel="1">
      <c r="B31" s="552"/>
      <c r="C31" s="552"/>
      <c r="D31" s="473" t="s">
        <v>7</v>
      </c>
      <c r="E31" s="468"/>
      <c r="F31" s="553"/>
      <c r="G31" s="553"/>
      <c r="H31" s="553"/>
      <c r="I31" s="553"/>
      <c r="J31" s="559"/>
      <c r="K31" s="559"/>
      <c r="L31" s="560"/>
      <c r="M31" s="559"/>
      <c r="N31" s="560"/>
      <c r="O31" s="553"/>
      <c r="P31" s="553"/>
      <c r="Q31" s="420"/>
      <c r="R31" s="553"/>
      <c r="S31" s="553"/>
      <c r="T31" s="420"/>
    </row>
    <row r="32" spans="2:20" outlineLevel="1">
      <c r="B32" s="545" t="s">
        <v>621</v>
      </c>
      <c r="C32" s="545" t="s">
        <v>622</v>
      </c>
      <c r="D32" s="546" t="s">
        <v>342</v>
      </c>
      <c r="E32" s="415"/>
      <c r="F32" s="410"/>
      <c r="G32" s="411">
        <f>SUM(G33:G35)</f>
        <v>0</v>
      </c>
      <c r="H32" s="411">
        <f>SUM(H33:H35)</f>
        <v>0</v>
      </c>
      <c r="I32" s="411">
        <f>SUM(J32:K32)+M32</f>
        <v>0</v>
      </c>
      <c r="J32" s="557"/>
      <c r="K32" s="557"/>
      <c r="L32" s="558"/>
      <c r="M32" s="557"/>
      <c r="N32" s="558"/>
      <c r="O32" s="410"/>
      <c r="P32" s="411">
        <f>SUM(P33:P35)</f>
        <v>0</v>
      </c>
      <c r="Q32" s="413"/>
      <c r="R32" s="411">
        <f>SUM(R33:R35)</f>
        <v>0</v>
      </c>
      <c r="S32" s="411">
        <f>SUM(S33:S35)</f>
        <v>0</v>
      </c>
      <c r="T32" s="413"/>
    </row>
    <row r="33" spans="2:20" outlineLevel="1">
      <c r="B33" s="545" t="str">
        <f t="shared" ref="B33:B34" si="6">CONCATENATE(B$32,"",ROW()-ROW(B$32))</f>
        <v>1.1.6.1</v>
      </c>
      <c r="C33" s="547"/>
      <c r="D33" s="415"/>
      <c r="E33" s="415"/>
      <c r="F33" s="561"/>
      <c r="G33" s="410"/>
      <c r="H33" s="410"/>
      <c r="I33" s="549"/>
      <c r="J33" s="550"/>
      <c r="K33" s="550"/>
      <c r="L33" s="551"/>
      <c r="M33" s="550"/>
      <c r="N33" s="551"/>
      <c r="O33" s="549"/>
      <c r="P33" s="562"/>
      <c r="Q33" s="413"/>
      <c r="R33" s="410"/>
      <c r="S33" s="562"/>
      <c r="T33" s="413"/>
    </row>
    <row r="34" spans="2:20" outlineLevel="1">
      <c r="B34" s="545" t="str">
        <f t="shared" si="6"/>
        <v>1.1.6.2</v>
      </c>
      <c r="C34" s="547"/>
      <c r="D34" s="415"/>
      <c r="E34" s="415"/>
      <c r="F34" s="561"/>
      <c r="G34" s="410"/>
      <c r="H34" s="410"/>
      <c r="I34" s="549"/>
      <c r="J34" s="550"/>
      <c r="K34" s="550"/>
      <c r="L34" s="551"/>
      <c r="M34" s="550"/>
      <c r="N34" s="551"/>
      <c r="O34" s="549"/>
      <c r="P34" s="562"/>
      <c r="Q34" s="413"/>
      <c r="R34" s="410"/>
      <c r="S34" s="562"/>
      <c r="T34" s="413"/>
    </row>
    <row r="35" spans="2:20" ht="14.25" outlineLevel="1">
      <c r="B35" s="552"/>
      <c r="C35" s="552"/>
      <c r="D35" s="473" t="s">
        <v>7</v>
      </c>
      <c r="E35" s="475"/>
      <c r="F35" s="563"/>
      <c r="G35" s="563"/>
      <c r="H35" s="563"/>
      <c r="I35" s="563"/>
      <c r="J35" s="564"/>
      <c r="K35" s="564"/>
      <c r="L35" s="565"/>
      <c r="M35" s="564"/>
      <c r="N35" s="565"/>
      <c r="O35" s="563"/>
      <c r="P35" s="563"/>
      <c r="Q35" s="479"/>
      <c r="R35" s="563"/>
      <c r="S35" s="563"/>
      <c r="T35" s="479"/>
    </row>
    <row r="36" spans="2:20">
      <c r="B36" s="566" t="s">
        <v>269</v>
      </c>
      <c r="C36" s="544" t="s">
        <v>279</v>
      </c>
      <c r="D36" s="457" t="s">
        <v>344</v>
      </c>
      <c r="E36" s="406"/>
      <c r="F36" s="431"/>
      <c r="G36" s="404">
        <f>SUM(G37:G39)</f>
        <v>0</v>
      </c>
      <c r="H36" s="404">
        <f>SUM(H37:H39)</f>
        <v>0</v>
      </c>
      <c r="I36" s="404">
        <f>SUM(J36:K36)+M36</f>
        <v>0</v>
      </c>
      <c r="J36" s="567"/>
      <c r="K36" s="567"/>
      <c r="L36" s="542"/>
      <c r="M36" s="567"/>
      <c r="N36" s="542"/>
      <c r="O36" s="431"/>
      <c r="P36" s="404">
        <f>SUM(P37:P39)</f>
        <v>0</v>
      </c>
      <c r="Q36" s="406"/>
      <c r="R36" s="404">
        <f>SUM(R37:R39)</f>
        <v>0</v>
      </c>
      <c r="S36" s="404">
        <f>SUM(S37:S39)</f>
        <v>0</v>
      </c>
      <c r="T36" s="406"/>
    </row>
    <row r="37" spans="2:20" outlineLevel="1">
      <c r="B37" s="545" t="str">
        <f>CONCATENATE(B$36,"",ROW()-ROW(B$36))</f>
        <v>1.2.1</v>
      </c>
      <c r="C37" s="547"/>
      <c r="D37" s="415"/>
      <c r="E37" s="415"/>
      <c r="F37" s="561"/>
      <c r="G37" s="410"/>
      <c r="H37" s="410"/>
      <c r="I37" s="561"/>
      <c r="J37" s="550"/>
      <c r="K37" s="550"/>
      <c r="L37" s="551"/>
      <c r="M37" s="550"/>
      <c r="N37" s="551"/>
      <c r="O37" s="561"/>
      <c r="P37" s="562"/>
      <c r="Q37" s="413"/>
      <c r="R37" s="410"/>
      <c r="S37" s="562"/>
      <c r="T37" s="413"/>
    </row>
    <row r="38" spans="2:20" outlineLevel="1">
      <c r="B38" s="545" t="str">
        <f>CONCATENATE(B$36,"",ROW()-ROW(B$36))</f>
        <v>1.2.2</v>
      </c>
      <c r="C38" s="547"/>
      <c r="D38" s="415"/>
      <c r="E38" s="415"/>
      <c r="F38" s="561"/>
      <c r="G38" s="410"/>
      <c r="H38" s="410"/>
      <c r="I38" s="561"/>
      <c r="J38" s="550"/>
      <c r="K38" s="550"/>
      <c r="L38" s="551"/>
      <c r="M38" s="550"/>
      <c r="N38" s="551"/>
      <c r="O38" s="561"/>
      <c r="P38" s="562"/>
      <c r="Q38" s="413"/>
      <c r="R38" s="410"/>
      <c r="S38" s="562"/>
      <c r="T38" s="413"/>
    </row>
    <row r="39" spans="2:20" ht="14.25" outlineLevel="1">
      <c r="B39" s="552"/>
      <c r="C39" s="552"/>
      <c r="D39" s="473" t="s">
        <v>7</v>
      </c>
      <c r="E39" s="468"/>
      <c r="F39" s="553"/>
      <c r="G39" s="553"/>
      <c r="H39" s="553"/>
      <c r="I39" s="553"/>
      <c r="J39" s="559"/>
      <c r="K39" s="559"/>
      <c r="L39" s="560"/>
      <c r="M39" s="559"/>
      <c r="N39" s="560"/>
      <c r="O39" s="553"/>
      <c r="P39" s="553"/>
      <c r="Q39" s="420"/>
      <c r="R39" s="553"/>
      <c r="S39" s="553"/>
      <c r="T39" s="420"/>
    </row>
    <row r="40" spans="2:20" ht="25.5">
      <c r="B40" s="566" t="s">
        <v>270</v>
      </c>
      <c r="C40" s="544" t="s">
        <v>281</v>
      </c>
      <c r="D40" s="457" t="s">
        <v>623</v>
      </c>
      <c r="E40" s="406"/>
      <c r="F40" s="431"/>
      <c r="G40" s="404">
        <f>SUM(G41:G43)</f>
        <v>0</v>
      </c>
      <c r="H40" s="404">
        <f>SUM(H41:H43)</f>
        <v>0</v>
      </c>
      <c r="I40" s="404">
        <f>SUM(J40:K40)+M40</f>
        <v>0</v>
      </c>
      <c r="J40" s="567"/>
      <c r="K40" s="567"/>
      <c r="L40" s="542"/>
      <c r="M40" s="567"/>
      <c r="N40" s="542"/>
      <c r="O40" s="431"/>
      <c r="P40" s="404">
        <f>SUM(P41:P43)</f>
        <v>0</v>
      </c>
      <c r="Q40" s="406"/>
      <c r="R40" s="404">
        <f>SUM(R41:R43)</f>
        <v>0</v>
      </c>
      <c r="S40" s="404">
        <f>SUM(S41:S43)</f>
        <v>0</v>
      </c>
      <c r="T40" s="406"/>
    </row>
    <row r="41" spans="2:20" outlineLevel="1">
      <c r="B41" s="545" t="str">
        <f t="shared" ref="B41:B42" si="7">CONCATENATE(B$40,"",ROW()-ROW(B$40))</f>
        <v>1.3.1</v>
      </c>
      <c r="C41" s="547"/>
      <c r="D41" s="415"/>
      <c r="E41" s="415"/>
      <c r="F41" s="561"/>
      <c r="G41" s="410"/>
      <c r="H41" s="410"/>
      <c r="I41" s="561"/>
      <c r="J41" s="550"/>
      <c r="K41" s="550"/>
      <c r="L41" s="551"/>
      <c r="M41" s="550"/>
      <c r="N41" s="551"/>
      <c r="O41" s="561"/>
      <c r="P41" s="562"/>
      <c r="Q41" s="413"/>
      <c r="R41" s="410"/>
      <c r="S41" s="562"/>
      <c r="T41" s="413"/>
    </row>
    <row r="42" spans="2:20" outlineLevel="1">
      <c r="B42" s="545" t="str">
        <f t="shared" si="7"/>
        <v>1.3.2</v>
      </c>
      <c r="C42" s="547"/>
      <c r="D42" s="415"/>
      <c r="E42" s="415"/>
      <c r="F42" s="561"/>
      <c r="G42" s="410"/>
      <c r="H42" s="410"/>
      <c r="I42" s="561"/>
      <c r="J42" s="550"/>
      <c r="K42" s="550"/>
      <c r="L42" s="551"/>
      <c r="M42" s="550"/>
      <c r="N42" s="551"/>
      <c r="O42" s="561"/>
      <c r="P42" s="562"/>
      <c r="Q42" s="413"/>
      <c r="R42" s="410"/>
      <c r="S42" s="562"/>
      <c r="T42" s="413"/>
    </row>
    <row r="43" spans="2:20" ht="14.25" outlineLevel="1">
      <c r="B43" s="552"/>
      <c r="C43" s="552"/>
      <c r="D43" s="473" t="s">
        <v>7</v>
      </c>
      <c r="E43" s="468"/>
      <c r="F43" s="553"/>
      <c r="G43" s="553"/>
      <c r="H43" s="553"/>
      <c r="I43" s="553"/>
      <c r="J43" s="559"/>
      <c r="K43" s="559"/>
      <c r="L43" s="560"/>
      <c r="M43" s="559"/>
      <c r="N43" s="560"/>
      <c r="O43" s="553"/>
      <c r="P43" s="553"/>
      <c r="Q43" s="420"/>
      <c r="R43" s="553"/>
      <c r="S43" s="553"/>
      <c r="T43" s="420"/>
    </row>
    <row r="44" spans="2:20" ht="25.5">
      <c r="B44" s="566" t="s">
        <v>286</v>
      </c>
      <c r="C44" s="544" t="s">
        <v>283</v>
      </c>
      <c r="D44" s="457" t="s">
        <v>348</v>
      </c>
      <c r="E44" s="406"/>
      <c r="F44" s="431"/>
      <c r="G44" s="404">
        <f>SUBTOTAL(9,G45:G68)</f>
        <v>0</v>
      </c>
      <c r="H44" s="404">
        <f>SUBTOTAL(9,H45:H68)</f>
        <v>0</v>
      </c>
      <c r="I44" s="404">
        <f>SUBTOTAL(9,I45:I68)</f>
        <v>0</v>
      </c>
      <c r="J44" s="460">
        <f>SUBTOTAL(9,J45:J68)</f>
        <v>0</v>
      </c>
      <c r="K44" s="460">
        <f>SUBTOTAL(9,K45:K68)</f>
        <v>0</v>
      </c>
      <c r="L44" s="542"/>
      <c r="M44" s="460">
        <f>SUBTOTAL(9,M45:M68)</f>
        <v>0</v>
      </c>
      <c r="N44" s="542"/>
      <c r="O44" s="431"/>
      <c r="P44" s="404">
        <f>SUBTOTAL(9,P45:P68)</f>
        <v>0</v>
      </c>
      <c r="Q44" s="406"/>
      <c r="R44" s="404">
        <f>SUBTOTAL(9,R45:R68)</f>
        <v>0</v>
      </c>
      <c r="S44" s="404">
        <f>SUBTOTAL(9,S45:S68)</f>
        <v>0</v>
      </c>
      <c r="T44" s="406"/>
    </row>
    <row r="45" spans="2:20" outlineLevel="1">
      <c r="B45" s="568" t="s">
        <v>624</v>
      </c>
      <c r="C45" s="569"/>
      <c r="D45" s="570" t="s">
        <v>625</v>
      </c>
      <c r="E45" s="413"/>
      <c r="F45" s="548"/>
      <c r="G45" s="411">
        <f>SUBTOTAL(9,G46:G48)</f>
        <v>0</v>
      </c>
      <c r="H45" s="411">
        <f>SUBTOTAL(9,H46:H48)</f>
        <v>0</v>
      </c>
      <c r="I45" s="411">
        <f>SUM(J45:K45)+M45</f>
        <v>0</v>
      </c>
      <c r="J45" s="557"/>
      <c r="K45" s="557"/>
      <c r="L45" s="558"/>
      <c r="M45" s="557"/>
      <c r="N45" s="558"/>
      <c r="O45" s="549"/>
      <c r="P45" s="411">
        <f>SUBTOTAL(9,P46:P48)</f>
        <v>0</v>
      </c>
      <c r="Q45" s="406"/>
      <c r="R45" s="411">
        <f>SUBTOTAL(9,R46:R48)</f>
        <v>0</v>
      </c>
      <c r="S45" s="411">
        <f>SUBTOTAL(9,S46:S48)</f>
        <v>0</v>
      </c>
      <c r="T45" s="406"/>
    </row>
    <row r="46" spans="2:20" outlineLevel="1">
      <c r="B46" s="545" t="str">
        <f>CONCATENATE(B$45,"",ROW()-ROW(B$45))</f>
        <v>1.4.1.1</v>
      </c>
      <c r="C46" s="547"/>
      <c r="D46" s="415"/>
      <c r="E46" s="415"/>
      <c r="F46" s="548"/>
      <c r="G46" s="410"/>
      <c r="H46" s="410"/>
      <c r="I46" s="549"/>
      <c r="J46" s="550"/>
      <c r="K46" s="550"/>
      <c r="L46" s="551"/>
      <c r="M46" s="550"/>
      <c r="N46" s="551"/>
      <c r="O46" s="549"/>
      <c r="P46" s="562"/>
      <c r="Q46" s="406"/>
      <c r="R46" s="410"/>
      <c r="S46" s="562"/>
      <c r="T46" s="406"/>
    </row>
    <row r="47" spans="2:20" outlineLevel="1">
      <c r="B47" s="545" t="str">
        <f>CONCATENATE(B$45,"",ROW()-ROW(B$45))</f>
        <v>1.4.1.2</v>
      </c>
      <c r="C47" s="547"/>
      <c r="D47" s="415"/>
      <c r="E47" s="415"/>
      <c r="F47" s="548"/>
      <c r="G47" s="410"/>
      <c r="H47" s="410"/>
      <c r="I47" s="549"/>
      <c r="J47" s="550"/>
      <c r="K47" s="550"/>
      <c r="L47" s="551"/>
      <c r="M47" s="550"/>
      <c r="N47" s="551"/>
      <c r="O47" s="549"/>
      <c r="P47" s="562"/>
      <c r="Q47" s="406"/>
      <c r="R47" s="410"/>
      <c r="S47" s="562"/>
      <c r="T47" s="406"/>
    </row>
    <row r="48" spans="2:20" ht="14.25" outlineLevel="1">
      <c r="B48" s="552"/>
      <c r="C48" s="552"/>
      <c r="D48" s="473" t="s">
        <v>7</v>
      </c>
      <c r="E48" s="475"/>
      <c r="F48" s="553"/>
      <c r="G48" s="571"/>
      <c r="H48" s="571"/>
      <c r="I48" s="571"/>
      <c r="J48" s="564"/>
      <c r="K48" s="564"/>
      <c r="L48" s="565"/>
      <c r="M48" s="564"/>
      <c r="N48" s="565"/>
      <c r="O48" s="571"/>
      <c r="P48" s="571"/>
      <c r="Q48" s="420"/>
      <c r="R48" s="571"/>
      <c r="S48" s="571"/>
      <c r="T48" s="420"/>
    </row>
    <row r="49" spans="2:20" outlineLevel="1">
      <c r="B49" s="569" t="s">
        <v>626</v>
      </c>
      <c r="C49" s="569"/>
      <c r="D49" s="570" t="s">
        <v>627</v>
      </c>
      <c r="E49" s="413"/>
      <c r="F49" s="548"/>
      <c r="G49" s="411">
        <f>SUBTOTAL(9,G50:G52)</f>
        <v>0</v>
      </c>
      <c r="H49" s="411">
        <f>SUBTOTAL(9,H50:H52)</f>
        <v>0</v>
      </c>
      <c r="I49" s="411">
        <f>SUM(J49:K49)+M49</f>
        <v>0</v>
      </c>
      <c r="J49" s="557"/>
      <c r="K49" s="557"/>
      <c r="L49" s="558"/>
      <c r="M49" s="557"/>
      <c r="N49" s="558"/>
      <c r="O49" s="549"/>
      <c r="P49" s="411">
        <f>SUBTOTAL(9,P50:P52)</f>
        <v>0</v>
      </c>
      <c r="Q49" s="406"/>
      <c r="R49" s="411">
        <f>SUBTOTAL(9,R50:R52)</f>
        <v>0</v>
      </c>
      <c r="S49" s="411">
        <f>SUBTOTAL(9,S50:S52)</f>
        <v>0</v>
      </c>
      <c r="T49" s="406"/>
    </row>
    <row r="50" spans="2:20" outlineLevel="1">
      <c r="B50" s="545" t="str">
        <f>CONCATENATE(B$49,"",ROW()-ROW(B$49))</f>
        <v>1.4.2.1</v>
      </c>
      <c r="C50" s="547"/>
      <c r="D50" s="415"/>
      <c r="E50" s="415"/>
      <c r="F50" s="548"/>
      <c r="G50" s="410"/>
      <c r="H50" s="410"/>
      <c r="I50" s="549"/>
      <c r="J50" s="550"/>
      <c r="K50" s="550"/>
      <c r="L50" s="551"/>
      <c r="M50" s="550"/>
      <c r="N50" s="551"/>
      <c r="O50" s="549"/>
      <c r="P50" s="562"/>
      <c r="Q50" s="406"/>
      <c r="R50" s="410"/>
      <c r="S50" s="562"/>
      <c r="T50" s="406"/>
    </row>
    <row r="51" spans="2:20" outlineLevel="1">
      <c r="B51" s="545" t="str">
        <f>CONCATENATE(B$49,"",ROW()-ROW(B$49))</f>
        <v>1.4.2.2</v>
      </c>
      <c r="C51" s="547"/>
      <c r="D51" s="415"/>
      <c r="E51" s="415"/>
      <c r="F51" s="548"/>
      <c r="G51" s="410"/>
      <c r="H51" s="410"/>
      <c r="I51" s="549"/>
      <c r="J51" s="550"/>
      <c r="K51" s="550"/>
      <c r="L51" s="551"/>
      <c r="M51" s="550"/>
      <c r="N51" s="551"/>
      <c r="O51" s="549"/>
      <c r="P51" s="562"/>
      <c r="Q51" s="406"/>
      <c r="R51" s="410"/>
      <c r="S51" s="562"/>
      <c r="T51" s="406"/>
    </row>
    <row r="52" spans="2:20" ht="14.25" outlineLevel="1">
      <c r="B52" s="552"/>
      <c r="C52" s="552"/>
      <c r="D52" s="473" t="s">
        <v>7</v>
      </c>
      <c r="E52" s="475"/>
      <c r="F52" s="553"/>
      <c r="G52" s="571"/>
      <c r="H52" s="571"/>
      <c r="I52" s="571"/>
      <c r="J52" s="564"/>
      <c r="K52" s="564"/>
      <c r="L52" s="565"/>
      <c r="M52" s="564"/>
      <c r="N52" s="565"/>
      <c r="O52" s="571"/>
      <c r="P52" s="571"/>
      <c r="Q52" s="420"/>
      <c r="R52" s="571"/>
      <c r="S52" s="571"/>
      <c r="T52" s="420"/>
    </row>
    <row r="53" spans="2:20" outlineLevel="1">
      <c r="B53" s="569" t="s">
        <v>628</v>
      </c>
      <c r="C53" s="569"/>
      <c r="D53" s="570" t="s">
        <v>629</v>
      </c>
      <c r="E53" s="413"/>
      <c r="F53" s="548"/>
      <c r="G53" s="411">
        <f>SUBTOTAL(9,G54:G56)</f>
        <v>0</v>
      </c>
      <c r="H53" s="411">
        <f>SUBTOTAL(9,H54:H56)</f>
        <v>0</v>
      </c>
      <c r="I53" s="411">
        <f>SUM(J53:K53)+M53</f>
        <v>0</v>
      </c>
      <c r="J53" s="557"/>
      <c r="K53" s="557"/>
      <c r="L53" s="558"/>
      <c r="M53" s="557"/>
      <c r="N53" s="558"/>
      <c r="O53" s="549"/>
      <c r="P53" s="411">
        <f>SUBTOTAL(9,P54:P56)</f>
        <v>0</v>
      </c>
      <c r="Q53" s="406"/>
      <c r="R53" s="411">
        <f>SUBTOTAL(9,R54:R56)</f>
        <v>0</v>
      </c>
      <c r="S53" s="411">
        <f>SUBTOTAL(9,S54:S56)</f>
        <v>0</v>
      </c>
      <c r="T53" s="406"/>
    </row>
    <row r="54" spans="2:20" outlineLevel="1">
      <c r="B54" s="545" t="str">
        <f t="shared" ref="B54:B55" si="8">CONCATENATE(B$53,"",ROW()-ROW(B$53))</f>
        <v>1.4.3.1</v>
      </c>
      <c r="C54" s="547"/>
      <c r="D54" s="415"/>
      <c r="E54" s="415"/>
      <c r="F54" s="548"/>
      <c r="G54" s="410"/>
      <c r="H54" s="410"/>
      <c r="I54" s="549"/>
      <c r="J54" s="550"/>
      <c r="K54" s="550"/>
      <c r="L54" s="551"/>
      <c r="M54" s="550"/>
      <c r="N54" s="551"/>
      <c r="O54" s="549"/>
      <c r="P54" s="562"/>
      <c r="Q54" s="406"/>
      <c r="R54" s="410"/>
      <c r="S54" s="562"/>
      <c r="T54" s="406"/>
    </row>
    <row r="55" spans="2:20" outlineLevel="1">
      <c r="B55" s="545" t="str">
        <f t="shared" si="8"/>
        <v>1.4.3.2</v>
      </c>
      <c r="C55" s="547"/>
      <c r="D55" s="415"/>
      <c r="E55" s="415"/>
      <c r="F55" s="548"/>
      <c r="G55" s="410"/>
      <c r="H55" s="410"/>
      <c r="I55" s="549"/>
      <c r="J55" s="550"/>
      <c r="K55" s="550"/>
      <c r="L55" s="551"/>
      <c r="M55" s="550"/>
      <c r="N55" s="551"/>
      <c r="O55" s="549"/>
      <c r="P55" s="562"/>
      <c r="Q55" s="406"/>
      <c r="R55" s="410"/>
      <c r="S55" s="562"/>
      <c r="T55" s="406"/>
    </row>
    <row r="56" spans="2:20" ht="14.25" outlineLevel="1">
      <c r="B56" s="552"/>
      <c r="C56" s="552"/>
      <c r="D56" s="473" t="s">
        <v>7</v>
      </c>
      <c r="E56" s="475"/>
      <c r="F56" s="553"/>
      <c r="G56" s="571"/>
      <c r="H56" s="571"/>
      <c r="I56" s="571"/>
      <c r="J56" s="564"/>
      <c r="K56" s="564"/>
      <c r="L56" s="565"/>
      <c r="M56" s="564"/>
      <c r="N56" s="565"/>
      <c r="O56" s="571"/>
      <c r="P56" s="571"/>
      <c r="Q56" s="420"/>
      <c r="R56" s="571"/>
      <c r="S56" s="571"/>
      <c r="T56" s="420"/>
    </row>
    <row r="57" spans="2:20" outlineLevel="1">
      <c r="B57" s="569" t="s">
        <v>630</v>
      </c>
      <c r="C57" s="569"/>
      <c r="D57" s="570" t="s">
        <v>631</v>
      </c>
      <c r="E57" s="413"/>
      <c r="F57" s="548"/>
      <c r="G57" s="411">
        <f>SUBTOTAL(9,G58:G60)</f>
        <v>0</v>
      </c>
      <c r="H57" s="411">
        <f>SUBTOTAL(9,H58:H60)</f>
        <v>0</v>
      </c>
      <c r="I57" s="411">
        <f>SUM(J57:K57)+M57</f>
        <v>0</v>
      </c>
      <c r="J57" s="557"/>
      <c r="K57" s="557"/>
      <c r="L57" s="558"/>
      <c r="M57" s="557"/>
      <c r="N57" s="558"/>
      <c r="O57" s="549"/>
      <c r="P57" s="411">
        <f>SUBTOTAL(9,P58:P60)</f>
        <v>0</v>
      </c>
      <c r="Q57" s="406"/>
      <c r="R57" s="411">
        <f>SUBTOTAL(9,R58:R60)</f>
        <v>0</v>
      </c>
      <c r="S57" s="411">
        <f>SUBTOTAL(9,S58:S60)</f>
        <v>0</v>
      </c>
      <c r="T57" s="406"/>
    </row>
    <row r="58" spans="2:20" outlineLevel="1">
      <c r="B58" s="545" t="str">
        <f t="shared" ref="B58:B59" si="9">CONCATENATE(B$57,"",ROW()-ROW(B$57))</f>
        <v>1.4.4.1</v>
      </c>
      <c r="C58" s="547"/>
      <c r="D58" s="415"/>
      <c r="E58" s="415"/>
      <c r="F58" s="548"/>
      <c r="G58" s="410"/>
      <c r="H58" s="410"/>
      <c r="I58" s="549"/>
      <c r="J58" s="550"/>
      <c r="K58" s="550"/>
      <c r="L58" s="551"/>
      <c r="M58" s="550"/>
      <c r="N58" s="551"/>
      <c r="O58" s="549"/>
      <c r="P58" s="562"/>
      <c r="Q58" s="406"/>
      <c r="R58" s="410"/>
      <c r="S58" s="562"/>
      <c r="T58" s="406"/>
    </row>
    <row r="59" spans="2:20" outlineLevel="1">
      <c r="B59" s="545" t="str">
        <f t="shared" si="9"/>
        <v>1.4.4.2</v>
      </c>
      <c r="C59" s="547"/>
      <c r="D59" s="415"/>
      <c r="E59" s="415"/>
      <c r="F59" s="548"/>
      <c r="G59" s="410"/>
      <c r="H59" s="410"/>
      <c r="I59" s="549"/>
      <c r="J59" s="550"/>
      <c r="K59" s="550"/>
      <c r="L59" s="551"/>
      <c r="M59" s="550"/>
      <c r="N59" s="551"/>
      <c r="O59" s="549"/>
      <c r="P59" s="562"/>
      <c r="Q59" s="406"/>
      <c r="R59" s="410"/>
      <c r="S59" s="562"/>
      <c r="T59" s="406"/>
    </row>
    <row r="60" spans="2:20" ht="14.25" outlineLevel="1">
      <c r="B60" s="552"/>
      <c r="C60" s="552"/>
      <c r="D60" s="473" t="s">
        <v>7</v>
      </c>
      <c r="E60" s="415"/>
      <c r="F60" s="553"/>
      <c r="G60" s="571"/>
      <c r="H60" s="571"/>
      <c r="I60" s="571"/>
      <c r="J60" s="564"/>
      <c r="K60" s="564"/>
      <c r="L60" s="565"/>
      <c r="M60" s="564"/>
      <c r="N60" s="565"/>
      <c r="O60" s="571"/>
      <c r="P60" s="571"/>
      <c r="Q60" s="420"/>
      <c r="R60" s="571"/>
      <c r="S60" s="571"/>
      <c r="T60" s="420"/>
    </row>
    <row r="61" spans="2:20" outlineLevel="1">
      <c r="B61" s="569" t="s">
        <v>632</v>
      </c>
      <c r="C61" s="569"/>
      <c r="D61" s="570" t="s">
        <v>633</v>
      </c>
      <c r="E61" s="413"/>
      <c r="F61" s="548"/>
      <c r="G61" s="411">
        <f>SUBTOTAL(9,G62:G64)</f>
        <v>0</v>
      </c>
      <c r="H61" s="411">
        <f>SUBTOTAL(9,H62:H64)</f>
        <v>0</v>
      </c>
      <c r="I61" s="411">
        <f>SUM(J61:K61)+M61</f>
        <v>0</v>
      </c>
      <c r="J61" s="557"/>
      <c r="K61" s="557"/>
      <c r="L61" s="558"/>
      <c r="M61" s="557"/>
      <c r="N61" s="558"/>
      <c r="O61" s="549"/>
      <c r="P61" s="411">
        <f>SUBTOTAL(9,P62:P64)</f>
        <v>0</v>
      </c>
      <c r="Q61" s="406"/>
      <c r="R61" s="411">
        <f>SUBTOTAL(9,R62:R64)</f>
        <v>0</v>
      </c>
      <c r="S61" s="411">
        <f>SUBTOTAL(9,S62:S64)</f>
        <v>0</v>
      </c>
      <c r="T61" s="406"/>
    </row>
    <row r="62" spans="2:20" outlineLevel="1">
      <c r="B62" s="545" t="str">
        <f>CONCATENATE(B$61,"",ROW()-ROW(B$61))</f>
        <v>1.4.5.1</v>
      </c>
      <c r="C62" s="547"/>
      <c r="D62" s="415"/>
      <c r="E62" s="415"/>
      <c r="F62" s="548"/>
      <c r="G62" s="410"/>
      <c r="H62" s="410"/>
      <c r="I62" s="549"/>
      <c r="J62" s="550"/>
      <c r="K62" s="550"/>
      <c r="L62" s="551"/>
      <c r="M62" s="550"/>
      <c r="N62" s="551"/>
      <c r="O62" s="549"/>
      <c r="P62" s="562"/>
      <c r="Q62" s="406"/>
      <c r="R62" s="410"/>
      <c r="S62" s="562"/>
      <c r="T62" s="406"/>
    </row>
    <row r="63" spans="2:20" outlineLevel="1">
      <c r="B63" s="545" t="str">
        <f>CONCATENATE(B$61,"",ROW()-ROW(B$61))</f>
        <v>1.4.5.2</v>
      </c>
      <c r="C63" s="547"/>
      <c r="D63" s="415"/>
      <c r="E63" s="415"/>
      <c r="F63" s="548"/>
      <c r="G63" s="410"/>
      <c r="H63" s="410"/>
      <c r="I63" s="549"/>
      <c r="J63" s="550"/>
      <c r="K63" s="550"/>
      <c r="L63" s="551"/>
      <c r="M63" s="550"/>
      <c r="N63" s="551"/>
      <c r="O63" s="549"/>
      <c r="P63" s="562"/>
      <c r="Q63" s="406"/>
      <c r="R63" s="410"/>
      <c r="S63" s="562"/>
      <c r="T63" s="406"/>
    </row>
    <row r="64" spans="2:20" ht="14.25" outlineLevel="1">
      <c r="B64" s="552"/>
      <c r="C64" s="552"/>
      <c r="D64" s="473" t="s">
        <v>7</v>
      </c>
      <c r="E64" s="475"/>
      <c r="F64" s="553"/>
      <c r="G64" s="563"/>
      <c r="H64" s="563"/>
      <c r="I64" s="563"/>
      <c r="J64" s="564"/>
      <c r="K64" s="564"/>
      <c r="L64" s="565"/>
      <c r="M64" s="564"/>
      <c r="N64" s="565"/>
      <c r="O64" s="563"/>
      <c r="P64" s="563"/>
      <c r="Q64" s="420"/>
      <c r="R64" s="563"/>
      <c r="S64" s="563"/>
      <c r="T64" s="420"/>
    </row>
    <row r="65" spans="2:20" outlineLevel="1">
      <c r="B65" s="569" t="s">
        <v>634</v>
      </c>
      <c r="C65" s="569"/>
      <c r="D65" s="570" t="s">
        <v>635</v>
      </c>
      <c r="E65" s="413"/>
      <c r="F65" s="548"/>
      <c r="G65" s="411">
        <f>SUBTOTAL(9,G66:G68)</f>
        <v>0</v>
      </c>
      <c r="H65" s="411">
        <f>SUBTOTAL(9,H66:H68)</f>
        <v>0</v>
      </c>
      <c r="I65" s="411">
        <f>SUM(J65:K65)+M65</f>
        <v>0</v>
      </c>
      <c r="J65" s="557"/>
      <c r="K65" s="557"/>
      <c r="L65" s="558"/>
      <c r="M65" s="557"/>
      <c r="N65" s="558"/>
      <c r="O65" s="549"/>
      <c r="P65" s="411">
        <f>SUBTOTAL(9,P66:P68)</f>
        <v>0</v>
      </c>
      <c r="Q65" s="406"/>
      <c r="R65" s="411">
        <f>SUBTOTAL(9,R66:R68)</f>
        <v>0</v>
      </c>
      <c r="S65" s="411">
        <f>SUBTOTAL(9,S66:S68)</f>
        <v>0</v>
      </c>
      <c r="T65" s="406"/>
    </row>
    <row r="66" spans="2:20" outlineLevel="1">
      <c r="B66" s="545" t="str">
        <f t="shared" ref="B66:B67" si="10">CONCATENATE(B$65,"",ROW()-ROW(B$65))</f>
        <v>1.4.6.1</v>
      </c>
      <c r="C66" s="547"/>
      <c r="D66" s="414"/>
      <c r="E66" s="415"/>
      <c r="F66" s="548"/>
      <c r="G66" s="410"/>
      <c r="H66" s="410"/>
      <c r="I66" s="549"/>
      <c r="J66" s="550"/>
      <c r="K66" s="550"/>
      <c r="L66" s="551"/>
      <c r="M66" s="550"/>
      <c r="N66" s="551"/>
      <c r="O66" s="549"/>
      <c r="P66" s="562"/>
      <c r="Q66" s="406"/>
      <c r="R66" s="410"/>
      <c r="S66" s="562"/>
      <c r="T66" s="406"/>
    </row>
    <row r="67" spans="2:20" outlineLevel="1">
      <c r="B67" s="545" t="str">
        <f t="shared" si="10"/>
        <v>1.4.6.2</v>
      </c>
      <c r="C67" s="547"/>
      <c r="D67" s="414"/>
      <c r="E67" s="415"/>
      <c r="F67" s="548"/>
      <c r="G67" s="410"/>
      <c r="H67" s="410"/>
      <c r="I67" s="572"/>
      <c r="J67" s="573"/>
      <c r="K67" s="573"/>
      <c r="L67" s="574"/>
      <c r="M67" s="573"/>
      <c r="N67" s="574"/>
      <c r="O67" s="572"/>
      <c r="P67" s="562"/>
      <c r="Q67" s="406"/>
      <c r="R67" s="410"/>
      <c r="S67" s="562"/>
      <c r="T67" s="406"/>
    </row>
    <row r="68" spans="2:20" ht="14.25" outlineLevel="1">
      <c r="B68" s="552"/>
      <c r="C68" s="552"/>
      <c r="D68" s="473" t="s">
        <v>7</v>
      </c>
      <c r="E68" s="468"/>
      <c r="F68" s="553"/>
      <c r="G68" s="553"/>
      <c r="H68" s="553"/>
      <c r="I68" s="553"/>
      <c r="J68" s="559"/>
      <c r="K68" s="559"/>
      <c r="L68" s="560"/>
      <c r="M68" s="559"/>
      <c r="N68" s="560"/>
      <c r="O68" s="553"/>
      <c r="P68" s="553"/>
      <c r="Q68" s="420"/>
      <c r="R68" s="553"/>
      <c r="S68" s="553"/>
      <c r="T68" s="420"/>
    </row>
    <row r="69" spans="2:20">
      <c r="B69" s="566" t="s">
        <v>636</v>
      </c>
      <c r="C69" s="544" t="s">
        <v>637</v>
      </c>
      <c r="D69" s="457" t="s">
        <v>638</v>
      </c>
      <c r="E69" s="406"/>
      <c r="F69" s="575"/>
      <c r="G69" s="404">
        <f>SUM(G70:G72)</f>
        <v>0</v>
      </c>
      <c r="H69" s="404">
        <f>SUM(H70:H72)</f>
        <v>0</v>
      </c>
      <c r="I69" s="404">
        <f>SUM(J69:K69)+M69</f>
        <v>0</v>
      </c>
      <c r="J69" s="567"/>
      <c r="K69" s="567"/>
      <c r="L69" s="542"/>
      <c r="M69" s="567"/>
      <c r="N69" s="542"/>
      <c r="O69" s="575"/>
      <c r="P69" s="404">
        <f>SUM(P70:P72)</f>
        <v>0</v>
      </c>
      <c r="Q69" s="406"/>
      <c r="R69" s="404">
        <f>SUM(R70:R72)</f>
        <v>0</v>
      </c>
      <c r="S69" s="404">
        <f>SUM(S70:S72)</f>
        <v>0</v>
      </c>
      <c r="T69" s="406"/>
    </row>
    <row r="70" spans="2:20" outlineLevel="1">
      <c r="B70" s="545" t="str">
        <f t="shared" ref="B70:B71" si="11">CONCATENATE(B$69,"",ROW()-ROW(B$69))</f>
        <v>1.5.1</v>
      </c>
      <c r="C70" s="547"/>
      <c r="D70" s="415"/>
      <c r="E70" s="415"/>
      <c r="F70" s="548"/>
      <c r="G70" s="410"/>
      <c r="H70" s="410"/>
      <c r="I70" s="549"/>
      <c r="J70" s="550"/>
      <c r="K70" s="550"/>
      <c r="L70" s="551"/>
      <c r="M70" s="550"/>
      <c r="N70" s="551"/>
      <c r="O70" s="549"/>
      <c r="P70" s="562"/>
      <c r="Q70" s="406"/>
      <c r="R70" s="410"/>
      <c r="S70" s="562"/>
      <c r="T70" s="406"/>
    </row>
    <row r="71" spans="2:20" outlineLevel="1">
      <c r="B71" s="545" t="str">
        <f t="shared" si="11"/>
        <v>1.5.2</v>
      </c>
      <c r="C71" s="547"/>
      <c r="D71" s="415"/>
      <c r="E71" s="415"/>
      <c r="F71" s="548"/>
      <c r="G71" s="410"/>
      <c r="H71" s="410"/>
      <c r="I71" s="549"/>
      <c r="J71" s="550"/>
      <c r="K71" s="550"/>
      <c r="L71" s="551"/>
      <c r="M71" s="550"/>
      <c r="N71" s="551"/>
      <c r="O71" s="549"/>
      <c r="P71" s="562"/>
      <c r="Q71" s="406"/>
      <c r="R71" s="410"/>
      <c r="S71" s="562"/>
      <c r="T71" s="406"/>
    </row>
    <row r="72" spans="2:20" ht="14.25" outlineLevel="1">
      <c r="B72" s="552"/>
      <c r="C72" s="552"/>
      <c r="D72" s="473" t="s">
        <v>7</v>
      </c>
      <c r="E72" s="468"/>
      <c r="F72" s="553"/>
      <c r="G72" s="553"/>
      <c r="H72" s="553"/>
      <c r="I72" s="553"/>
      <c r="J72" s="559"/>
      <c r="K72" s="559"/>
      <c r="L72" s="560"/>
      <c r="M72" s="559"/>
      <c r="N72" s="560"/>
      <c r="O72" s="553"/>
      <c r="P72" s="553"/>
      <c r="Q72" s="420"/>
      <c r="R72" s="553"/>
      <c r="S72" s="553"/>
      <c r="T72" s="420"/>
    </row>
    <row r="73" spans="2:20">
      <c r="B73" s="566" t="s">
        <v>639</v>
      </c>
      <c r="C73" s="544" t="s">
        <v>640</v>
      </c>
      <c r="D73" s="457" t="s">
        <v>641</v>
      </c>
      <c r="E73" s="406"/>
      <c r="F73" s="575"/>
      <c r="G73" s="404">
        <f>SUM(G74:G76)</f>
        <v>0</v>
      </c>
      <c r="H73" s="404">
        <f>SUM(H74:H76)</f>
        <v>0</v>
      </c>
      <c r="I73" s="404">
        <f>SUM(J73:K73)+M73</f>
        <v>0</v>
      </c>
      <c r="J73" s="567"/>
      <c r="K73" s="567"/>
      <c r="L73" s="542"/>
      <c r="M73" s="567"/>
      <c r="N73" s="542"/>
      <c r="O73" s="575"/>
      <c r="P73" s="404">
        <f>SUM(P74:P76)</f>
        <v>0</v>
      </c>
      <c r="Q73" s="406"/>
      <c r="R73" s="404">
        <f>SUM(R74:R76)</f>
        <v>0</v>
      </c>
      <c r="S73" s="404">
        <f>SUM(S74:S76)</f>
        <v>0</v>
      </c>
      <c r="T73" s="406"/>
    </row>
    <row r="74" spans="2:20" outlineLevel="1">
      <c r="B74" s="545" t="str">
        <f>CONCATENATE(B$73,"",ROW()-ROW(B$73))</f>
        <v>1.6.1</v>
      </c>
      <c r="C74" s="547"/>
      <c r="D74" s="415"/>
      <c r="E74" s="415"/>
      <c r="F74" s="548"/>
      <c r="G74" s="410"/>
      <c r="H74" s="410"/>
      <c r="I74" s="549"/>
      <c r="J74" s="550"/>
      <c r="K74" s="550"/>
      <c r="L74" s="551"/>
      <c r="M74" s="550"/>
      <c r="N74" s="551"/>
      <c r="O74" s="549"/>
      <c r="P74" s="562"/>
      <c r="Q74" s="406"/>
      <c r="R74" s="410"/>
      <c r="S74" s="562"/>
      <c r="T74" s="406"/>
    </row>
    <row r="75" spans="2:20" outlineLevel="1">
      <c r="B75" s="545" t="str">
        <f>CONCATENATE(B$73,"",ROW()-ROW(B$73))</f>
        <v>1.6.2</v>
      </c>
      <c r="C75" s="547"/>
      <c r="D75" s="415"/>
      <c r="E75" s="415"/>
      <c r="F75" s="548"/>
      <c r="G75" s="410"/>
      <c r="H75" s="410"/>
      <c r="I75" s="549"/>
      <c r="J75" s="550"/>
      <c r="K75" s="550"/>
      <c r="L75" s="551"/>
      <c r="M75" s="550"/>
      <c r="N75" s="551"/>
      <c r="O75" s="549"/>
      <c r="P75" s="562"/>
      <c r="Q75" s="406"/>
      <c r="R75" s="410"/>
      <c r="S75" s="562"/>
      <c r="T75" s="406"/>
    </row>
    <row r="76" spans="2:20" ht="14.25" outlineLevel="1">
      <c r="B76" s="552"/>
      <c r="C76" s="552"/>
      <c r="D76" s="473" t="s">
        <v>7</v>
      </c>
      <c r="E76" s="468"/>
      <c r="F76" s="553"/>
      <c r="G76" s="553"/>
      <c r="H76" s="553"/>
      <c r="I76" s="553"/>
      <c r="J76" s="559"/>
      <c r="K76" s="559"/>
      <c r="L76" s="560"/>
      <c r="M76" s="559"/>
      <c r="N76" s="560"/>
      <c r="O76" s="553"/>
      <c r="P76" s="553"/>
      <c r="Q76" s="420"/>
      <c r="R76" s="553"/>
      <c r="S76" s="553"/>
      <c r="T76" s="420"/>
    </row>
    <row r="77" spans="2:20">
      <c r="B77" s="566" t="s">
        <v>642</v>
      </c>
      <c r="C77" s="544" t="s">
        <v>643</v>
      </c>
      <c r="D77" s="457" t="s">
        <v>644</v>
      </c>
      <c r="E77" s="406"/>
      <c r="F77" s="575"/>
      <c r="G77" s="404">
        <f>SUM(G78:G80)</f>
        <v>0</v>
      </c>
      <c r="H77" s="404">
        <f>SUM(H78:H80)</f>
        <v>0</v>
      </c>
      <c r="I77" s="404">
        <f>SUM(J77:K77)+M77</f>
        <v>0</v>
      </c>
      <c r="J77" s="567"/>
      <c r="K77" s="567"/>
      <c r="L77" s="542"/>
      <c r="M77" s="567"/>
      <c r="N77" s="542"/>
      <c r="O77" s="575"/>
      <c r="P77" s="404">
        <f>SUM(P78:P80)</f>
        <v>0</v>
      </c>
      <c r="Q77" s="406"/>
      <c r="R77" s="404">
        <f>SUM(R78:R80)</f>
        <v>0</v>
      </c>
      <c r="S77" s="404">
        <f>SUM(S78:S80)</f>
        <v>0</v>
      </c>
      <c r="T77" s="406"/>
    </row>
    <row r="78" spans="2:20" ht="15" customHeight="1" outlineLevel="1">
      <c r="B78" s="545" t="str">
        <f>CONCATENATE(B$77,"",ROW()-ROW(B$77))</f>
        <v>1.7.1</v>
      </c>
      <c r="C78" s="547"/>
      <c r="D78" s="415"/>
      <c r="E78" s="415"/>
      <c r="F78" s="548"/>
      <c r="G78" s="410"/>
      <c r="H78" s="410"/>
      <c r="I78" s="549"/>
      <c r="J78" s="550"/>
      <c r="K78" s="550"/>
      <c r="L78" s="551"/>
      <c r="M78" s="550"/>
      <c r="N78" s="551"/>
      <c r="O78" s="549"/>
      <c r="P78" s="562"/>
      <c r="Q78" s="406"/>
      <c r="R78" s="410"/>
      <c r="S78" s="562"/>
      <c r="T78" s="406"/>
    </row>
    <row r="79" spans="2:20" outlineLevel="1">
      <c r="B79" s="545" t="str">
        <f>CONCATENATE(B$77,"",ROW()-ROW(B$77))</f>
        <v>1.7.2</v>
      </c>
      <c r="C79" s="547"/>
      <c r="D79" s="415"/>
      <c r="E79" s="415"/>
      <c r="F79" s="548"/>
      <c r="G79" s="410"/>
      <c r="H79" s="410"/>
      <c r="I79" s="549"/>
      <c r="J79" s="550"/>
      <c r="K79" s="550"/>
      <c r="L79" s="551"/>
      <c r="M79" s="550"/>
      <c r="N79" s="551"/>
      <c r="O79" s="549"/>
      <c r="P79" s="562"/>
      <c r="Q79" s="406"/>
      <c r="R79" s="410"/>
      <c r="S79" s="562"/>
      <c r="T79" s="406"/>
    </row>
    <row r="80" spans="2:20" ht="14.25" outlineLevel="1">
      <c r="B80" s="569"/>
      <c r="C80" s="552"/>
      <c r="D80" s="473" t="s">
        <v>7</v>
      </c>
      <c r="E80" s="468"/>
      <c r="F80" s="553"/>
      <c r="G80" s="563"/>
      <c r="H80" s="563"/>
      <c r="I80" s="563"/>
      <c r="J80" s="564"/>
      <c r="K80" s="564"/>
      <c r="L80" s="565"/>
      <c r="M80" s="564"/>
      <c r="N80" s="565"/>
      <c r="O80" s="563"/>
      <c r="P80" s="563"/>
      <c r="Q80" s="420"/>
      <c r="R80" s="563"/>
      <c r="S80" s="563"/>
      <c r="T80" s="420"/>
    </row>
    <row r="81" spans="2:20" ht="25.5">
      <c r="B81" s="544" t="s">
        <v>645</v>
      </c>
      <c r="C81" s="544" t="s">
        <v>646</v>
      </c>
      <c r="D81" s="457" t="s">
        <v>647</v>
      </c>
      <c r="E81" s="576"/>
      <c r="F81" s="404">
        <f t="shared" ref="F81:K81" si="12">SUM(F82,F86)</f>
        <v>0</v>
      </c>
      <c r="G81" s="404">
        <f t="shared" si="12"/>
        <v>0</v>
      </c>
      <c r="H81" s="404">
        <f t="shared" si="12"/>
        <v>0</v>
      </c>
      <c r="I81" s="404">
        <f t="shared" si="12"/>
        <v>0</v>
      </c>
      <c r="J81" s="460">
        <f t="shared" si="12"/>
        <v>0</v>
      </c>
      <c r="K81" s="460">
        <f t="shared" si="12"/>
        <v>0</v>
      </c>
      <c r="L81" s="542"/>
      <c r="M81" s="460">
        <f>SUM(M82,M86)</f>
        <v>0</v>
      </c>
      <c r="N81" s="542"/>
      <c r="O81" s="404">
        <f>SUM(O82,O86)</f>
        <v>0</v>
      </c>
      <c r="P81" s="404">
        <f>SUM(P82,P86)</f>
        <v>0</v>
      </c>
      <c r="Q81" s="406"/>
      <c r="R81" s="404">
        <f>SUM(R82,R86)</f>
        <v>0</v>
      </c>
      <c r="S81" s="404">
        <f>SUM(S82,S86)</f>
        <v>0</v>
      </c>
      <c r="T81" s="406"/>
    </row>
    <row r="82" spans="2:20" outlineLevel="2">
      <c r="B82" s="577" t="s">
        <v>648</v>
      </c>
      <c r="C82" s="545" t="s">
        <v>649</v>
      </c>
      <c r="D82" s="546" t="s">
        <v>650</v>
      </c>
      <c r="E82" s="578"/>
      <c r="F82" s="562"/>
      <c r="G82" s="411">
        <f>SUM(G83:G85)</f>
        <v>0</v>
      </c>
      <c r="H82" s="411">
        <f>SUM(H83:H85)</f>
        <v>0</v>
      </c>
      <c r="I82" s="411">
        <f>SUM(J82:K82)+M82</f>
        <v>0</v>
      </c>
      <c r="J82" s="557"/>
      <c r="K82" s="557"/>
      <c r="L82" s="558"/>
      <c r="M82" s="557"/>
      <c r="N82" s="558"/>
      <c r="O82" s="562"/>
      <c r="P82" s="411">
        <f>SUM(P83:P85)</f>
        <v>0</v>
      </c>
      <c r="Q82" s="413"/>
      <c r="R82" s="411">
        <f>SUM(R83:R85)</f>
        <v>0</v>
      </c>
      <c r="S82" s="411">
        <f>SUM(S83:S85)</f>
        <v>0</v>
      </c>
      <c r="T82" s="413"/>
    </row>
    <row r="83" spans="2:20" outlineLevel="2">
      <c r="B83" s="545" t="str">
        <f>CONCATENATE(B$82,"",ROW()-ROW(B$82))</f>
        <v>1.8.1.1</v>
      </c>
      <c r="C83" s="576"/>
      <c r="D83" s="578"/>
      <c r="E83" s="578"/>
      <c r="F83" s="549"/>
      <c r="G83" s="562"/>
      <c r="H83" s="562"/>
      <c r="I83" s="549"/>
      <c r="J83" s="550"/>
      <c r="K83" s="550"/>
      <c r="L83" s="551"/>
      <c r="M83" s="550"/>
      <c r="N83" s="551"/>
      <c r="O83" s="549"/>
      <c r="P83" s="562"/>
      <c r="Q83" s="413"/>
      <c r="R83" s="562"/>
      <c r="S83" s="562"/>
      <c r="T83" s="413"/>
    </row>
    <row r="84" spans="2:20" outlineLevel="2">
      <c r="B84" s="545" t="str">
        <f>CONCATENATE(B$82,"",ROW()-ROW(B$82))</f>
        <v>1.8.1.2</v>
      </c>
      <c r="C84" s="576"/>
      <c r="D84" s="578"/>
      <c r="E84" s="578"/>
      <c r="F84" s="549"/>
      <c r="G84" s="562"/>
      <c r="H84" s="562"/>
      <c r="I84" s="549"/>
      <c r="J84" s="550"/>
      <c r="K84" s="550"/>
      <c r="L84" s="551"/>
      <c r="M84" s="550"/>
      <c r="N84" s="551"/>
      <c r="O84" s="549"/>
      <c r="P84" s="562"/>
      <c r="Q84" s="413"/>
      <c r="R84" s="562"/>
      <c r="S84" s="562"/>
      <c r="T84" s="413"/>
    </row>
    <row r="85" spans="2:20" ht="14.25" outlineLevel="2">
      <c r="B85" s="552"/>
      <c r="C85" s="552"/>
      <c r="D85" s="473" t="s">
        <v>7</v>
      </c>
      <c r="E85" s="475"/>
      <c r="F85" s="553"/>
      <c r="G85" s="553"/>
      <c r="H85" s="553"/>
      <c r="I85" s="553"/>
      <c r="J85" s="559"/>
      <c r="K85" s="559"/>
      <c r="L85" s="560"/>
      <c r="M85" s="559"/>
      <c r="N85" s="560"/>
      <c r="O85" s="553"/>
      <c r="P85" s="553"/>
      <c r="Q85" s="420"/>
      <c r="R85" s="553"/>
      <c r="S85" s="553"/>
      <c r="T85" s="420"/>
    </row>
    <row r="86" spans="2:20" outlineLevel="1">
      <c r="B86" s="577" t="s">
        <v>651</v>
      </c>
      <c r="C86" s="545" t="s">
        <v>652</v>
      </c>
      <c r="D86" s="546" t="s">
        <v>653</v>
      </c>
      <c r="E86" s="578"/>
      <c r="F86" s="562"/>
      <c r="G86" s="411">
        <f>SUM(G87:G89)</f>
        <v>0</v>
      </c>
      <c r="H86" s="411">
        <f>SUM(H87:H89)</f>
        <v>0</v>
      </c>
      <c r="I86" s="411">
        <f>SUM(J86:K86)+M86</f>
        <v>0</v>
      </c>
      <c r="J86" s="557"/>
      <c r="K86" s="557"/>
      <c r="L86" s="558"/>
      <c r="M86" s="557"/>
      <c r="N86" s="558"/>
      <c r="O86" s="562"/>
      <c r="P86" s="411">
        <f>SUM(P87:P89)</f>
        <v>0</v>
      </c>
      <c r="Q86" s="413"/>
      <c r="R86" s="411">
        <f>SUM(R87:R89)</f>
        <v>0</v>
      </c>
      <c r="S86" s="411">
        <f>SUM(S87:S89)</f>
        <v>0</v>
      </c>
      <c r="T86" s="413"/>
    </row>
    <row r="87" spans="2:20" outlineLevel="1">
      <c r="B87" s="545" t="str">
        <f>CONCATENATE(B$86,"",ROW()-ROW(B$86))</f>
        <v>1.8.2.1</v>
      </c>
      <c r="C87" s="576"/>
      <c r="D87" s="578"/>
      <c r="E87" s="578"/>
      <c r="F87" s="549"/>
      <c r="G87" s="562"/>
      <c r="H87" s="562"/>
      <c r="I87" s="549"/>
      <c r="J87" s="550"/>
      <c r="K87" s="550"/>
      <c r="L87" s="551"/>
      <c r="M87" s="550"/>
      <c r="N87" s="551"/>
      <c r="O87" s="549"/>
      <c r="P87" s="562"/>
      <c r="Q87" s="413"/>
      <c r="R87" s="562"/>
      <c r="S87" s="562"/>
      <c r="T87" s="413"/>
    </row>
    <row r="88" spans="2:20" outlineLevel="1">
      <c r="B88" s="545" t="str">
        <f>CONCATENATE(B$86,"",ROW()-ROW(B$86))</f>
        <v>1.8.2.2</v>
      </c>
      <c r="C88" s="576"/>
      <c r="D88" s="578"/>
      <c r="E88" s="578"/>
      <c r="F88" s="549"/>
      <c r="G88" s="562"/>
      <c r="H88" s="562"/>
      <c r="I88" s="549"/>
      <c r="J88" s="550"/>
      <c r="K88" s="550"/>
      <c r="L88" s="551"/>
      <c r="M88" s="550"/>
      <c r="N88" s="551"/>
      <c r="O88" s="549"/>
      <c r="P88" s="562"/>
      <c r="Q88" s="413"/>
      <c r="R88" s="562"/>
      <c r="S88" s="562"/>
      <c r="T88" s="413"/>
    </row>
    <row r="89" spans="2:20" ht="14.25" outlineLevel="1">
      <c r="B89" s="552"/>
      <c r="C89" s="552"/>
      <c r="D89" s="473" t="s">
        <v>7</v>
      </c>
      <c r="E89" s="468"/>
      <c r="F89" s="553"/>
      <c r="G89" s="553"/>
      <c r="H89" s="553"/>
      <c r="I89" s="553"/>
      <c r="J89" s="559"/>
      <c r="K89" s="559"/>
      <c r="L89" s="560"/>
      <c r="M89" s="559"/>
      <c r="N89" s="560"/>
      <c r="O89" s="553"/>
      <c r="P89" s="553"/>
      <c r="Q89" s="420"/>
      <c r="R89" s="553"/>
      <c r="S89" s="553"/>
      <c r="T89" s="420"/>
    </row>
    <row r="90" spans="2:20" ht="14.25">
      <c r="B90" s="233"/>
      <c r="C90" s="579"/>
      <c r="D90" s="580"/>
      <c r="E90" s="483"/>
      <c r="F90" s="250"/>
      <c r="G90" s="250"/>
      <c r="H90" s="250"/>
      <c r="I90" s="250"/>
      <c r="J90" s="250"/>
      <c r="K90" s="250"/>
      <c r="L90" s="250"/>
      <c r="M90" s="250"/>
      <c r="N90" s="250"/>
      <c r="O90" s="250"/>
      <c r="P90" s="250"/>
      <c r="R90" s="250"/>
      <c r="S90" s="250"/>
    </row>
    <row r="91" spans="2:20" ht="14.25">
      <c r="B91" s="579"/>
      <c r="C91" s="579"/>
      <c r="D91" s="580"/>
      <c r="E91" s="483"/>
      <c r="F91" s="250"/>
      <c r="G91" s="250"/>
      <c r="H91" s="250"/>
      <c r="I91" s="250"/>
      <c r="J91" s="250"/>
      <c r="K91" s="250"/>
      <c r="L91" s="250"/>
      <c r="M91" s="250"/>
      <c r="N91" s="250"/>
      <c r="O91" s="250"/>
      <c r="P91" s="250"/>
      <c r="R91" s="250"/>
      <c r="S91" s="250"/>
    </row>
    <row r="92" spans="2:20" ht="14.25">
      <c r="B92" s="579"/>
      <c r="C92" s="579"/>
      <c r="D92" s="580"/>
      <c r="E92" s="483"/>
      <c r="F92" s="250"/>
      <c r="G92" s="250"/>
      <c r="H92" s="250"/>
      <c r="I92" s="250"/>
      <c r="J92" s="250"/>
      <c r="K92" s="250"/>
      <c r="L92" s="250"/>
      <c r="M92" s="250"/>
      <c r="N92" s="250"/>
      <c r="O92" s="250"/>
      <c r="P92" s="250"/>
      <c r="R92" s="250"/>
      <c r="S92" s="250"/>
    </row>
    <row r="93" spans="2:20" ht="13.15" customHeight="1">
      <c r="B93" s="579"/>
      <c r="C93" s="579"/>
      <c r="D93" s="438" t="s">
        <v>498</v>
      </c>
      <c r="E93" s="483"/>
      <c r="F93" s="250"/>
      <c r="G93" s="250"/>
      <c r="H93" s="250"/>
      <c r="I93" s="250"/>
      <c r="J93" s="250"/>
      <c r="K93" s="250"/>
      <c r="L93" s="250"/>
      <c r="M93" s="250"/>
      <c r="N93" s="250"/>
      <c r="O93" s="250"/>
      <c r="P93" s="250"/>
      <c r="R93" s="250"/>
      <c r="S93" s="250"/>
    </row>
    <row r="94" spans="2:20">
      <c r="B94" s="579"/>
      <c r="C94" s="579"/>
      <c r="D94" s="2306" t="s">
        <v>542</v>
      </c>
      <c r="E94" s="2306"/>
      <c r="F94" s="2306"/>
      <c r="G94" s="2306"/>
      <c r="H94" s="2306"/>
      <c r="I94" s="250"/>
      <c r="J94" s="250"/>
      <c r="K94" s="250"/>
      <c r="L94" s="250"/>
      <c r="M94" s="250"/>
      <c r="N94" s="250"/>
      <c r="O94" s="250"/>
      <c r="P94" s="250"/>
      <c r="S94" s="250"/>
    </row>
    <row r="95" spans="2:20">
      <c r="B95" s="579"/>
      <c r="C95" s="579"/>
      <c r="D95" s="439" t="s">
        <v>2165</v>
      </c>
      <c r="I95" s="250"/>
      <c r="J95" s="250"/>
      <c r="K95" s="250"/>
      <c r="L95" s="250"/>
      <c r="M95" s="250"/>
      <c r="N95" s="250"/>
      <c r="O95" s="250"/>
      <c r="P95" s="250"/>
      <c r="S95" s="250"/>
    </row>
    <row r="96" spans="2:20">
      <c r="B96" s="579"/>
      <c r="C96" s="579"/>
      <c r="D96" s="439" t="s">
        <v>543</v>
      </c>
      <c r="I96" s="250"/>
      <c r="J96" s="250"/>
      <c r="K96" s="250"/>
      <c r="L96" s="250"/>
      <c r="M96" s="250"/>
      <c r="N96" s="250"/>
      <c r="O96" s="250"/>
      <c r="P96" s="250"/>
      <c r="S96" s="250"/>
    </row>
    <row r="97" spans="2:19">
      <c r="B97" s="579"/>
      <c r="C97" s="579"/>
      <c r="D97" s="439" t="s">
        <v>544</v>
      </c>
      <c r="E97" s="442"/>
      <c r="F97" s="442"/>
      <c r="G97" s="442"/>
      <c r="H97" s="442"/>
      <c r="I97" s="250"/>
      <c r="J97" s="250"/>
      <c r="K97" s="250"/>
      <c r="L97" s="250"/>
      <c r="M97" s="250"/>
      <c r="N97" s="250"/>
      <c r="O97" s="250"/>
      <c r="P97" s="250"/>
      <c r="R97" s="442"/>
      <c r="S97" s="250"/>
    </row>
    <row r="98" spans="2:19" ht="14.25">
      <c r="B98" s="579"/>
      <c r="C98" s="579"/>
      <c r="D98" s="439" t="s">
        <v>545</v>
      </c>
      <c r="E98" s="483"/>
      <c r="F98" s="250"/>
      <c r="G98" s="250"/>
      <c r="H98" s="250"/>
      <c r="I98" s="250"/>
      <c r="J98" s="250"/>
      <c r="K98" s="250"/>
      <c r="L98" s="250"/>
      <c r="M98" s="250"/>
      <c r="N98" s="250"/>
      <c r="O98" s="250"/>
      <c r="P98" s="250"/>
      <c r="R98" s="250"/>
      <c r="S98" s="250"/>
    </row>
    <row r="99" spans="2:19" ht="14.25">
      <c r="B99" s="579"/>
      <c r="C99" s="579"/>
      <c r="D99" s="580"/>
      <c r="E99" s="483"/>
      <c r="F99" s="250"/>
      <c r="G99" s="250"/>
      <c r="H99" s="250"/>
      <c r="I99" s="250"/>
      <c r="J99" s="250"/>
      <c r="K99" s="250"/>
      <c r="L99" s="250"/>
      <c r="M99" s="250"/>
      <c r="N99" s="250"/>
      <c r="O99" s="250"/>
      <c r="P99" s="250"/>
      <c r="R99" s="250"/>
      <c r="S99" s="250"/>
    </row>
    <row r="100" spans="2:19" ht="14.25">
      <c r="B100" s="579"/>
      <c r="C100" s="579"/>
      <c r="D100" s="580"/>
      <c r="E100" s="483"/>
      <c r="F100" s="250"/>
      <c r="G100" s="250"/>
      <c r="H100" s="250"/>
      <c r="I100" s="250"/>
      <c r="J100" s="250"/>
      <c r="K100" s="250"/>
      <c r="L100" s="250"/>
      <c r="M100" s="250"/>
      <c r="N100" s="250"/>
      <c r="O100" s="250"/>
      <c r="P100" s="250"/>
      <c r="R100" s="250"/>
      <c r="S100" s="250"/>
    </row>
    <row r="101" spans="2:19" ht="15.75">
      <c r="B101" s="579"/>
      <c r="C101" s="581"/>
      <c r="D101" s="2337"/>
      <c r="E101" s="2337"/>
      <c r="F101" s="250"/>
      <c r="G101" s="582"/>
      <c r="H101" s="250"/>
      <c r="I101" s="250"/>
      <c r="J101" s="250"/>
      <c r="K101" s="250"/>
      <c r="L101" s="250"/>
      <c r="M101" s="250"/>
      <c r="N101" s="250"/>
      <c r="O101" s="250"/>
      <c r="P101" s="250"/>
      <c r="R101" s="582"/>
      <c r="S101" s="250"/>
    </row>
    <row r="102" spans="2:19" ht="15.75">
      <c r="B102" s="581"/>
      <c r="C102" s="581"/>
      <c r="D102" s="583"/>
      <c r="E102" s="584"/>
      <c r="F102" s="250"/>
      <c r="G102" s="250"/>
      <c r="H102" s="250"/>
      <c r="I102" s="250"/>
      <c r="J102" s="250"/>
      <c r="K102" s="250"/>
      <c r="L102" s="250"/>
      <c r="M102" s="250"/>
      <c r="N102" s="250"/>
      <c r="O102" s="250"/>
      <c r="P102" s="250"/>
      <c r="R102" s="250"/>
      <c r="S102" s="250"/>
    </row>
    <row r="103" spans="2:19" ht="15.75">
      <c r="B103" s="581"/>
      <c r="C103" s="581"/>
      <c r="D103" s="2337"/>
      <c r="E103" s="2337"/>
      <c r="F103" s="250"/>
      <c r="G103" s="582"/>
      <c r="H103" s="250"/>
      <c r="I103" s="250"/>
      <c r="J103" s="250"/>
      <c r="K103" s="250"/>
      <c r="L103" s="250"/>
      <c r="M103" s="250"/>
      <c r="N103" s="250"/>
      <c r="O103" s="250"/>
      <c r="P103" s="250"/>
      <c r="R103" s="582"/>
      <c r="S103" s="250"/>
    </row>
    <row r="104" spans="2:19">
      <c r="B104" s="581"/>
    </row>
  </sheetData>
  <sheetProtection formatColumns="0" formatRows="0" insertHyperlinks="0"/>
  <mergeCells count="18">
    <mergeCell ref="D101:E101"/>
    <mergeCell ref="D103:E103"/>
    <mergeCell ref="P6:P7"/>
    <mergeCell ref="Q6:Q8"/>
    <mergeCell ref="R6:R7"/>
    <mergeCell ref="S6:S7"/>
    <mergeCell ref="T6:T8"/>
    <mergeCell ref="D94:H94"/>
    <mergeCell ref="C3:O3"/>
    <mergeCell ref="B6:B8"/>
    <mergeCell ref="C6:C8"/>
    <mergeCell ref="D6:D8"/>
    <mergeCell ref="E6:E8"/>
    <mergeCell ref="F6:F7"/>
    <mergeCell ref="G6:G7"/>
    <mergeCell ref="H6:H7"/>
    <mergeCell ref="I6:N6"/>
    <mergeCell ref="O6:O7"/>
  </mergeCells>
  <hyperlinks>
    <hyperlink ref="B1" location="'Перечень форм для заполнения'!A1" display="Вернуться к перечню форм"/>
    <hyperlink ref="D19" location="'10 (ППР)'!A1" display="Добавить"/>
    <hyperlink ref="D23" location="'10 (ППР)'!A1" display="Добавить"/>
    <hyperlink ref="D35" location="'10 (ППР)'!A1" display="Добавить"/>
    <hyperlink ref="D31" location="'10 (ППР)'!A1" display="Добавить"/>
    <hyperlink ref="D39" location="'10 (ППР)'!A1" display="Добавить"/>
    <hyperlink ref="D43" location="'10 (ППР)'!A1" display="Добавить"/>
    <hyperlink ref="D48" location="'10 (ППР)'!A1" display="Добавить"/>
    <hyperlink ref="D52" location="'10 (ППР)'!A1" display="Добавить"/>
    <hyperlink ref="D68" location="'10 (ППР)'!A1" display="Добавить"/>
    <hyperlink ref="D72" location="'10 (ППР)'!A1" display="Добавить"/>
    <hyperlink ref="D76" location="'10 (ППР)'!A1" display="Добавить"/>
    <hyperlink ref="D80" location="'10 (ППР)'!A1" display="Добавить"/>
    <hyperlink ref="D89" location="'10 (ППР)'!A1" display="Добавить"/>
    <hyperlink ref="D85" location="'10 (ППР)'!A1" display="Добавить"/>
    <hyperlink ref="D15" location="'10 (ППР)'!A1" display="Добавить"/>
    <hyperlink ref="D27" location="'10 (ППР)'!A1" display="Добавить"/>
    <hyperlink ref="D56" location="'10 (ППР)'!A1" display="Добавить"/>
    <hyperlink ref="D64" location="'10 (ППР)'!A1" display="Добавить"/>
    <hyperlink ref="D60" location="'10 (ППР)'!A1" display="Добавить"/>
  </hyperlinks>
  <pageMargins left="0.70866141732283472" right="0.27559055118110237" top="0.74803149606299213" bottom="0.43307086614173229" header="0.31496062992125984" footer="0.31496062992125984"/>
  <pageSetup paperSize="9" scale="28" fitToHeight="21" orientation="portrait" r:id="rId1"/>
  <colBreaks count="1" manualBreakCount="1">
    <brk id="15" max="10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92D050"/>
    <outlinePr summaryBelow="0" summaryRight="0"/>
    <pageSetUpPr fitToPage="1"/>
  </sheetPr>
  <dimension ref="A1:M41"/>
  <sheetViews>
    <sheetView showGridLines="0" zoomScale="85" zoomScaleNormal="85" zoomScaleSheetLayoutView="85" workbookViewId="0">
      <selection activeCell="S25" sqref="S25"/>
    </sheetView>
  </sheetViews>
  <sheetFormatPr defaultColWidth="9.140625" defaultRowHeight="12.75" outlineLevelCol="1"/>
  <cols>
    <col min="1" max="1" width="11" style="212" customWidth="1"/>
    <col min="2" max="2" width="34.7109375" style="212" customWidth="1"/>
    <col min="3" max="3" width="16.5703125" style="212" customWidth="1"/>
    <col min="4" max="4" width="18" style="212" customWidth="1"/>
    <col min="5" max="5" width="12.42578125" style="212" customWidth="1"/>
    <col min="6" max="6" width="18" style="212" customWidth="1"/>
    <col min="7" max="7" width="13.85546875" style="212" customWidth="1"/>
    <col min="8" max="8" width="14" style="212" customWidth="1"/>
    <col min="9" max="9" width="16.28515625" style="212" customWidth="1"/>
    <col min="10" max="10" width="18" style="212" customWidth="1"/>
    <col min="11" max="11" width="18" style="212" customWidth="1" collapsed="1"/>
    <col min="12" max="12" width="16.28515625" style="212" hidden="1" customWidth="1" outlineLevel="1"/>
    <col min="13" max="13" width="18" style="212" hidden="1" customWidth="1" outlineLevel="1"/>
    <col min="14" max="16384" width="9.140625" style="212"/>
  </cols>
  <sheetData>
    <row r="1" spans="1:13">
      <c r="A1" s="210" t="s">
        <v>210</v>
      </c>
      <c r="I1" s="505" t="s">
        <v>654</v>
      </c>
      <c r="L1" s="505"/>
    </row>
    <row r="2" spans="1:13" ht="17.25" customHeight="1">
      <c r="B2" s="481"/>
      <c r="C2" s="439"/>
      <c r="D2" s="439"/>
      <c r="E2" s="439"/>
      <c r="F2" s="439"/>
      <c r="G2" s="439"/>
      <c r="H2" s="585"/>
      <c r="I2" s="586"/>
      <c r="J2" s="439"/>
      <c r="K2" s="439"/>
      <c r="L2" s="586"/>
      <c r="M2" s="439"/>
    </row>
    <row r="3" spans="1:13">
      <c r="A3" s="481"/>
      <c r="B3" s="481"/>
      <c r="C3" s="439"/>
      <c r="D3" s="439"/>
      <c r="E3" s="439"/>
      <c r="F3" s="439"/>
      <c r="G3" s="439"/>
      <c r="H3" s="585"/>
      <c r="I3" s="586"/>
      <c r="J3" s="439"/>
      <c r="K3" s="439"/>
      <c r="L3" s="586"/>
      <c r="M3" s="439"/>
    </row>
    <row r="4" spans="1:13" ht="42" customHeight="1">
      <c r="A4" s="2342" t="s">
        <v>655</v>
      </c>
      <c r="B4" s="2342"/>
      <c r="C4" s="2342"/>
      <c r="D4" s="2342"/>
      <c r="E4" s="2342"/>
      <c r="F4" s="2342"/>
      <c r="G4" s="2342"/>
      <c r="H4" s="2342"/>
      <c r="I4" s="2342"/>
      <c r="J4" s="2342"/>
      <c r="K4" s="2342"/>
      <c r="L4" s="2342"/>
      <c r="M4" s="2342"/>
    </row>
    <row r="5" spans="1:13" ht="14.25">
      <c r="A5" s="2339"/>
      <c r="B5" s="2340"/>
      <c r="C5" s="2340"/>
      <c r="D5" s="588"/>
      <c r="E5" s="587"/>
      <c r="F5" s="588"/>
      <c r="G5" s="588"/>
      <c r="H5" s="439"/>
      <c r="I5" s="585"/>
      <c r="J5" s="588"/>
      <c r="K5" s="588"/>
      <c r="L5" s="585"/>
      <c r="M5" s="588"/>
    </row>
    <row r="6" spans="1:13" ht="66.75" customHeight="1">
      <c r="A6" s="589" t="s">
        <v>12</v>
      </c>
      <c r="B6" s="589" t="s">
        <v>212</v>
      </c>
      <c r="C6" s="589" t="s">
        <v>656</v>
      </c>
      <c r="D6" s="1845" t="str">
        <f>"Факт, "&amp;'0. Анкета'!C15-2&amp;" год"</f>
        <v>Факт, 2022 год</v>
      </c>
      <c r="E6" s="589" t="str">
        <f>"ТБР, "&amp;'0. Анкета'!C15-2&amp;" год"</f>
        <v>ТБР, 2022 год</v>
      </c>
      <c r="F6" s="589" t="str">
        <f>"Факт, "&amp;'0. Анкета'!C15-2&amp;" год (отражен в отчете об исполнении сметы расходов)"</f>
        <v>Факт, 2022 год (отражен в отчете об исполнении сметы расходов)</v>
      </c>
      <c r="G6" s="589" t="s">
        <v>657</v>
      </c>
      <c r="H6" s="589" t="str">
        <f>"ТБР, "&amp;'0. Анкета'!C15-1&amp;" год"</f>
        <v>ТБР, 2023 год</v>
      </c>
      <c r="I6" s="590" t="str">
        <f>"Предложение ТСО, "&amp;'0. Анкета'!C15&amp;" год"</f>
        <v>Предложение ТСО, 2024 год</v>
      </c>
      <c r="J6" s="589" t="str">
        <f>"Факт согласованый Экспертами, "&amp;'0. Анкета'!C15-2&amp;" год"</f>
        <v>Факт согласованый Экспертами, 2022 год</v>
      </c>
      <c r="K6" s="589" t="s">
        <v>657</v>
      </c>
      <c r="L6" s="590" t="str">
        <f>"Согласовано Экспертами, "&amp;'0. Анкета'!C15&amp;" год"</f>
        <v>Согласовано Экспертами, 2024 год</v>
      </c>
      <c r="M6" s="589" t="s">
        <v>2166</v>
      </c>
    </row>
    <row r="7" spans="1:13">
      <c r="A7" s="510">
        <v>1</v>
      </c>
      <c r="B7" s="510">
        <f>A7+1</f>
        <v>2</v>
      </c>
      <c r="C7" s="510">
        <f t="shared" ref="C7:M7" si="0">B7+1</f>
        <v>3</v>
      </c>
      <c r="D7" s="510">
        <f t="shared" si="0"/>
        <v>4</v>
      </c>
      <c r="E7" s="510">
        <v>5</v>
      </c>
      <c r="F7" s="510">
        <v>6</v>
      </c>
      <c r="G7" s="510">
        <f t="shared" si="0"/>
        <v>7</v>
      </c>
      <c r="H7" s="510">
        <f t="shared" si="0"/>
        <v>8</v>
      </c>
      <c r="I7" s="510">
        <f t="shared" si="0"/>
        <v>9</v>
      </c>
      <c r="J7" s="510">
        <f t="shared" si="0"/>
        <v>10</v>
      </c>
      <c r="K7" s="510">
        <f>J7+1</f>
        <v>11</v>
      </c>
      <c r="L7" s="510">
        <f>K7+1</f>
        <v>12</v>
      </c>
      <c r="M7" s="510">
        <f t="shared" si="0"/>
        <v>13</v>
      </c>
    </row>
    <row r="8" spans="1:13" ht="14.25">
      <c r="A8" s="591" t="s">
        <v>234</v>
      </c>
      <c r="B8" s="592" t="s">
        <v>658</v>
      </c>
      <c r="C8" s="593" t="s">
        <v>318</v>
      </c>
      <c r="D8" s="594"/>
      <c r="E8" s="594"/>
      <c r="F8" s="595">
        <f>F9+F16</f>
        <v>0</v>
      </c>
      <c r="G8" s="596">
        <f>F8-E8</f>
        <v>0</v>
      </c>
      <c r="H8" s="594"/>
      <c r="I8" s="595">
        <f>I9+I16</f>
        <v>0</v>
      </c>
      <c r="J8" s="595">
        <f>J9+J16</f>
        <v>0</v>
      </c>
      <c r="K8" s="596">
        <f>J8-E8</f>
        <v>0</v>
      </c>
      <c r="L8" s="595">
        <f>L9+L16</f>
        <v>0</v>
      </c>
      <c r="M8" s="597"/>
    </row>
    <row r="9" spans="1:13">
      <c r="A9" s="598" t="s">
        <v>316</v>
      </c>
      <c r="B9" s="599" t="s">
        <v>659</v>
      </c>
      <c r="C9" s="600" t="s">
        <v>318</v>
      </c>
      <c r="D9" s="601"/>
      <c r="E9" s="601"/>
      <c r="F9" s="602">
        <f>F10+F13</f>
        <v>0</v>
      </c>
      <c r="G9" s="602">
        <f>F9-E9</f>
        <v>0</v>
      </c>
      <c r="H9" s="601"/>
      <c r="I9" s="602">
        <f>I10+I13</f>
        <v>0</v>
      </c>
      <c r="J9" s="602">
        <f>J10+J13</f>
        <v>0</v>
      </c>
      <c r="K9" s="602">
        <f>J9-E9</f>
        <v>0</v>
      </c>
      <c r="L9" s="602">
        <f>L10+L13</f>
        <v>0</v>
      </c>
      <c r="M9" s="603"/>
    </row>
    <row r="10" spans="1:13">
      <c r="A10" s="604" t="s">
        <v>319</v>
      </c>
      <c r="B10" s="605" t="s">
        <v>232</v>
      </c>
      <c r="C10" s="606" t="s">
        <v>318</v>
      </c>
      <c r="D10" s="607"/>
      <c r="E10" s="607"/>
      <c r="F10" s="608">
        <f>SUM('31 (услуги ФСК-факт)'!D13:I13)</f>
        <v>0</v>
      </c>
      <c r="G10" s="608">
        <f>F10-E10</f>
        <v>0</v>
      </c>
      <c r="H10" s="607"/>
      <c r="I10" s="608">
        <f>I11*I12*6/1000</f>
        <v>0</v>
      </c>
      <c r="J10" s="603"/>
      <c r="K10" s="608">
        <f>J10-E10</f>
        <v>0</v>
      </c>
      <c r="L10" s="608">
        <f>L11*L12*6/1000</f>
        <v>0</v>
      </c>
      <c r="M10" s="603"/>
    </row>
    <row r="11" spans="1:13">
      <c r="A11" s="609" t="s">
        <v>660</v>
      </c>
      <c r="B11" s="610" t="s">
        <v>661</v>
      </c>
      <c r="C11" s="611" t="s">
        <v>241</v>
      </c>
      <c r="D11" s="612"/>
      <c r="E11" s="612"/>
      <c r="F11" s="613">
        <f>IFERROR(AVERAGE('31 (услуги ФСК-факт)'!D11:I11),0)</f>
        <v>0</v>
      </c>
      <c r="G11" s="612"/>
      <c r="H11" s="612"/>
      <c r="I11" s="603"/>
      <c r="J11" s="603"/>
      <c r="K11" s="612"/>
      <c r="L11" s="603"/>
      <c r="M11" s="603"/>
    </row>
    <row r="12" spans="1:13">
      <c r="A12" s="609" t="s">
        <v>662</v>
      </c>
      <c r="B12" s="610" t="s">
        <v>663</v>
      </c>
      <c r="C12" s="611" t="s">
        <v>664</v>
      </c>
      <c r="D12" s="612"/>
      <c r="E12" s="612"/>
      <c r="F12" s="612"/>
      <c r="G12" s="612"/>
      <c r="H12" s="612"/>
      <c r="I12" s="603"/>
      <c r="J12" s="612"/>
      <c r="K12" s="612"/>
      <c r="L12" s="603"/>
      <c r="M12" s="603"/>
    </row>
    <row r="13" spans="1:13">
      <c r="A13" s="604" t="s">
        <v>321</v>
      </c>
      <c r="B13" s="605" t="s">
        <v>233</v>
      </c>
      <c r="C13" s="606" t="s">
        <v>318</v>
      </c>
      <c r="D13" s="607"/>
      <c r="E13" s="607"/>
      <c r="F13" s="608">
        <f>SUM('31 (услуги ФСК-факт)'!J13:O13)/1000</f>
        <v>0</v>
      </c>
      <c r="G13" s="608">
        <f>F13-E13</f>
        <v>0</v>
      </c>
      <c r="H13" s="607"/>
      <c r="I13" s="608">
        <f>I14*I15*6/1000</f>
        <v>0</v>
      </c>
      <c r="J13" s="603"/>
      <c r="K13" s="608">
        <f>J13-E13</f>
        <v>0</v>
      </c>
      <c r="L13" s="608">
        <f>L14*L15*6/1000</f>
        <v>0</v>
      </c>
      <c r="M13" s="603"/>
    </row>
    <row r="14" spans="1:13">
      <c r="A14" s="609" t="s">
        <v>319</v>
      </c>
      <c r="B14" s="610" t="s">
        <v>661</v>
      </c>
      <c r="C14" s="611" t="s">
        <v>241</v>
      </c>
      <c r="D14" s="612"/>
      <c r="E14" s="612"/>
      <c r="F14" s="613">
        <f>IFERROR(AVERAGE('31 (услуги ФСК-факт)'!J11:O11),0)</f>
        <v>0</v>
      </c>
      <c r="G14" s="612"/>
      <c r="H14" s="612"/>
      <c r="I14" s="603"/>
      <c r="J14" s="603"/>
      <c r="K14" s="612"/>
      <c r="L14" s="603"/>
      <c r="M14" s="603"/>
    </row>
    <row r="15" spans="1:13">
      <c r="A15" s="609" t="s">
        <v>321</v>
      </c>
      <c r="B15" s="610" t="s">
        <v>663</v>
      </c>
      <c r="C15" s="611" t="s">
        <v>664</v>
      </c>
      <c r="D15" s="612"/>
      <c r="E15" s="612"/>
      <c r="F15" s="612"/>
      <c r="G15" s="612"/>
      <c r="H15" s="612"/>
      <c r="I15" s="603"/>
      <c r="J15" s="612"/>
      <c r="K15" s="612"/>
      <c r="L15" s="603"/>
      <c r="M15" s="603"/>
    </row>
    <row r="16" spans="1:13" ht="14.25">
      <c r="A16" s="598" t="s">
        <v>323</v>
      </c>
      <c r="B16" s="599" t="s">
        <v>665</v>
      </c>
      <c r="C16" s="600" t="s">
        <v>318</v>
      </c>
      <c r="D16" s="601"/>
      <c r="E16" s="601"/>
      <c r="F16" s="602">
        <f>SUM(F17,F26)</f>
        <v>0</v>
      </c>
      <c r="G16" s="602">
        <f>F16-E16</f>
        <v>0</v>
      </c>
      <c r="H16" s="601"/>
      <c r="I16" s="602">
        <f>I17+I26</f>
        <v>0</v>
      </c>
      <c r="J16" s="602">
        <f>J17+J26</f>
        <v>0</v>
      </c>
      <c r="K16" s="602">
        <f>J16-E16</f>
        <v>0</v>
      </c>
      <c r="L16" s="602">
        <f>L17+L26</f>
        <v>0</v>
      </c>
      <c r="M16" s="597"/>
    </row>
    <row r="17" spans="1:13">
      <c r="A17" s="604" t="s">
        <v>666</v>
      </c>
      <c r="B17" s="605" t="s">
        <v>232</v>
      </c>
      <c r="C17" s="606" t="s">
        <v>318</v>
      </c>
      <c r="D17" s="607"/>
      <c r="E17" s="607"/>
      <c r="F17" s="608">
        <f>(SUM('31 (услуги ФСК-факт)'!D31:I33)-SUM('31 (услуги ФСК-факт)'!D35:I35))/1000</f>
        <v>0</v>
      </c>
      <c r="G17" s="608">
        <f>F17-E17</f>
        <v>0</v>
      </c>
      <c r="H17" s="607"/>
      <c r="I17" s="608">
        <f>I18*I25/1000</f>
        <v>0</v>
      </c>
      <c r="J17" s="603"/>
      <c r="K17" s="608">
        <f>J17-E17</f>
        <v>0</v>
      </c>
      <c r="L17" s="608">
        <f>L18*L25/1000</f>
        <v>0</v>
      </c>
      <c r="M17" s="603"/>
    </row>
    <row r="18" spans="1:13">
      <c r="A18" s="609" t="s">
        <v>667</v>
      </c>
      <c r="B18" s="610" t="s">
        <v>668</v>
      </c>
      <c r="C18" s="611" t="s">
        <v>669</v>
      </c>
      <c r="D18" s="612"/>
      <c r="E18" s="612"/>
      <c r="F18" s="613">
        <f>SUM('31 (услуги ФСК-факт)'!D26:I28)-SUM('31 (услуги ФСК-факт)'!D34:I34)</f>
        <v>0</v>
      </c>
      <c r="G18" s="612"/>
      <c r="H18" s="612"/>
      <c r="I18" s="1843">
        <f>I20*I23+I21*I24</f>
        <v>0</v>
      </c>
      <c r="J18" s="603"/>
      <c r="K18" s="612"/>
      <c r="L18" s="1843">
        <f>L20*L23+L21*L24</f>
        <v>0</v>
      </c>
      <c r="M18" s="603"/>
    </row>
    <row r="19" spans="1:13">
      <c r="A19" s="609" t="s">
        <v>670</v>
      </c>
      <c r="B19" s="614" t="s">
        <v>671</v>
      </c>
      <c r="C19" s="611" t="s">
        <v>669</v>
      </c>
      <c r="D19" s="612"/>
      <c r="E19" s="612"/>
      <c r="F19" s="612"/>
      <c r="G19" s="612"/>
      <c r="H19" s="612"/>
      <c r="I19" s="1842">
        <f>SUM(I20:I21)</f>
        <v>0</v>
      </c>
      <c r="J19" s="612"/>
      <c r="K19" s="612"/>
      <c r="L19" s="1842">
        <f>SUM(L20:L21)</f>
        <v>0</v>
      </c>
      <c r="M19" s="603"/>
    </row>
    <row r="20" spans="1:13" ht="24">
      <c r="A20" s="1839" t="s">
        <v>2167</v>
      </c>
      <c r="B20" s="1841" t="s">
        <v>1421</v>
      </c>
      <c r="C20" s="1840" t="s">
        <v>669</v>
      </c>
      <c r="D20" s="612"/>
      <c r="E20" s="612"/>
      <c r="F20" s="612"/>
      <c r="G20" s="612"/>
      <c r="H20" s="612"/>
      <c r="I20" s="603"/>
      <c r="J20" s="612"/>
      <c r="K20" s="612"/>
      <c r="L20" s="603"/>
      <c r="M20" s="603"/>
    </row>
    <row r="21" spans="1:13" ht="24">
      <c r="A21" s="1839" t="s">
        <v>2168</v>
      </c>
      <c r="B21" s="1841" t="s">
        <v>1422</v>
      </c>
      <c r="C21" s="1840" t="s">
        <v>669</v>
      </c>
      <c r="D21" s="612"/>
      <c r="E21" s="612"/>
      <c r="F21" s="612"/>
      <c r="G21" s="612"/>
      <c r="H21" s="612"/>
      <c r="I21" s="603"/>
      <c r="J21" s="612"/>
      <c r="K21" s="612"/>
      <c r="L21" s="603"/>
      <c r="M21" s="603"/>
    </row>
    <row r="22" spans="1:13">
      <c r="A22" s="609" t="s">
        <v>672</v>
      </c>
      <c r="B22" s="614" t="s">
        <v>673</v>
      </c>
      <c r="C22" s="611" t="s">
        <v>268</v>
      </c>
      <c r="D22" s="612"/>
      <c r="E22" s="612"/>
      <c r="F22" s="612"/>
      <c r="G22" s="612"/>
      <c r="H22" s="612"/>
      <c r="I22" s="612"/>
      <c r="J22" s="612"/>
      <c r="K22" s="612"/>
      <c r="L22" s="612"/>
      <c r="M22" s="603"/>
    </row>
    <row r="23" spans="1:13" ht="24">
      <c r="A23" s="1839" t="s">
        <v>2169</v>
      </c>
      <c r="B23" s="1841" t="s">
        <v>1423</v>
      </c>
      <c r="C23" s="1840" t="s">
        <v>268</v>
      </c>
      <c r="D23" s="612"/>
      <c r="E23" s="612"/>
      <c r="F23" s="612"/>
      <c r="G23" s="612"/>
      <c r="H23" s="612"/>
      <c r="I23" s="615"/>
      <c r="J23" s="612"/>
      <c r="K23" s="612"/>
      <c r="L23" s="615"/>
      <c r="M23" s="603"/>
    </row>
    <row r="24" spans="1:13" ht="24">
      <c r="A24" s="1839" t="s">
        <v>2170</v>
      </c>
      <c r="B24" s="1841" t="s">
        <v>1424</v>
      </c>
      <c r="C24" s="1840" t="s">
        <v>268</v>
      </c>
      <c r="D24" s="612"/>
      <c r="E24" s="612"/>
      <c r="F24" s="612"/>
      <c r="G24" s="612"/>
      <c r="H24" s="612"/>
      <c r="I24" s="615"/>
      <c r="J24" s="612"/>
      <c r="K24" s="612"/>
      <c r="L24" s="615"/>
      <c r="M24" s="603"/>
    </row>
    <row r="25" spans="1:13">
      <c r="A25" s="609" t="s">
        <v>674</v>
      </c>
      <c r="B25" s="610" t="s">
        <v>675</v>
      </c>
      <c r="C25" s="611" t="s">
        <v>285</v>
      </c>
      <c r="D25" s="612"/>
      <c r="E25" s="612"/>
      <c r="F25" s="612"/>
      <c r="G25" s="612"/>
      <c r="H25" s="612"/>
      <c r="I25" s="603"/>
      <c r="J25" s="612"/>
      <c r="K25" s="612"/>
      <c r="L25" s="603"/>
      <c r="M25" s="603"/>
    </row>
    <row r="26" spans="1:13">
      <c r="A26" s="604" t="s">
        <v>676</v>
      </c>
      <c r="B26" s="605" t="s">
        <v>233</v>
      </c>
      <c r="C26" s="606" t="s">
        <v>318</v>
      </c>
      <c r="D26" s="607"/>
      <c r="E26" s="607"/>
      <c r="F26" s="608">
        <f>(SUM('31 (услуги ФСК-факт)'!J31:O33)-SUM('31 (услуги ФСК-факт)'!J35:O35))/1000</f>
        <v>0</v>
      </c>
      <c r="G26" s="608">
        <f>F26-E26</f>
        <v>0</v>
      </c>
      <c r="H26" s="607"/>
      <c r="I26" s="608">
        <f>I27*I34/1000</f>
        <v>0</v>
      </c>
      <c r="J26" s="603"/>
      <c r="K26" s="608">
        <f>J26-E26</f>
        <v>0</v>
      </c>
      <c r="L26" s="608">
        <f>L27*L34/1000</f>
        <v>0</v>
      </c>
      <c r="M26" s="603"/>
    </row>
    <row r="27" spans="1:13">
      <c r="A27" s="609" t="s">
        <v>677</v>
      </c>
      <c r="B27" s="610" t="s">
        <v>668</v>
      </c>
      <c r="C27" s="611" t="s">
        <v>669</v>
      </c>
      <c r="D27" s="612"/>
      <c r="E27" s="612"/>
      <c r="F27" s="613">
        <f>SUM('31 (услуги ФСК-факт)'!J26:O28)-SUM('31 (услуги ФСК-факт)'!J34:O34)</f>
        <v>0</v>
      </c>
      <c r="G27" s="612"/>
      <c r="H27" s="612"/>
      <c r="I27" s="1843">
        <f>I29*I32+I30*I33</f>
        <v>0</v>
      </c>
      <c r="J27" s="603"/>
      <c r="K27" s="612"/>
      <c r="L27" s="1843">
        <f>L29*L32+L30*L33</f>
        <v>0</v>
      </c>
      <c r="M27" s="603"/>
    </row>
    <row r="28" spans="1:13">
      <c r="A28" s="609" t="s">
        <v>678</v>
      </c>
      <c r="B28" s="614" t="str">
        <f>B19</f>
        <v>отпуск из сети ФСК</v>
      </c>
      <c r="C28" s="611" t="str">
        <f>C19</f>
        <v>МВтч</v>
      </c>
      <c r="D28" s="612"/>
      <c r="E28" s="612"/>
      <c r="F28" s="612"/>
      <c r="G28" s="612"/>
      <c r="H28" s="612"/>
      <c r="I28" s="1842">
        <f>SUM(I29:I30)</f>
        <v>0</v>
      </c>
      <c r="J28" s="612"/>
      <c r="K28" s="612"/>
      <c r="L28" s="1842">
        <f>SUM(L29:L30)</f>
        <v>0</v>
      </c>
      <c r="M28" s="603"/>
    </row>
    <row r="29" spans="1:13" ht="24">
      <c r="A29" s="1839" t="s">
        <v>2171</v>
      </c>
      <c r="B29" s="1841" t="s">
        <v>1421</v>
      </c>
      <c r="C29" s="1840" t="s">
        <v>669</v>
      </c>
      <c r="D29" s="612"/>
      <c r="E29" s="612"/>
      <c r="F29" s="612"/>
      <c r="G29" s="612"/>
      <c r="H29" s="612"/>
      <c r="I29" s="603"/>
      <c r="J29" s="612"/>
      <c r="K29" s="612"/>
      <c r="L29" s="603"/>
      <c r="M29" s="603"/>
    </row>
    <row r="30" spans="1:13" ht="24">
      <c r="A30" s="1839" t="s">
        <v>2172</v>
      </c>
      <c r="B30" s="1841" t="s">
        <v>1422</v>
      </c>
      <c r="C30" s="1840" t="s">
        <v>669</v>
      </c>
      <c r="D30" s="612"/>
      <c r="E30" s="612"/>
      <c r="F30" s="612"/>
      <c r="G30" s="612"/>
      <c r="H30" s="612"/>
      <c r="I30" s="603"/>
      <c r="J30" s="612"/>
      <c r="K30" s="612"/>
      <c r="L30" s="603"/>
      <c r="M30" s="603"/>
    </row>
    <row r="31" spans="1:13">
      <c r="A31" s="609" t="s">
        <v>679</v>
      </c>
      <c r="B31" s="614" t="str">
        <f>B22</f>
        <v>норматив технологич.потерь ээ</v>
      </c>
      <c r="C31" s="611" t="str">
        <f>C22</f>
        <v>%</v>
      </c>
      <c r="D31" s="612"/>
      <c r="E31" s="612"/>
      <c r="F31" s="612"/>
      <c r="G31" s="612"/>
      <c r="H31" s="612"/>
      <c r="I31" s="612"/>
      <c r="J31" s="612"/>
      <c r="K31" s="612"/>
      <c r="L31" s="612"/>
      <c r="M31" s="603"/>
    </row>
    <row r="32" spans="1:13" ht="24">
      <c r="A32" s="1839" t="s">
        <v>2173</v>
      </c>
      <c r="B32" s="1841" t="s">
        <v>1423</v>
      </c>
      <c r="C32" s="1840" t="s">
        <v>268</v>
      </c>
      <c r="D32" s="612"/>
      <c r="E32" s="612"/>
      <c r="F32" s="612"/>
      <c r="G32" s="612"/>
      <c r="H32" s="612"/>
      <c r="I32" s="615"/>
      <c r="J32" s="612"/>
      <c r="K32" s="612"/>
      <c r="L32" s="615"/>
      <c r="M32" s="603"/>
    </row>
    <row r="33" spans="1:13" ht="24">
      <c r="A33" s="1839" t="s">
        <v>2174</v>
      </c>
      <c r="B33" s="1841" t="s">
        <v>1424</v>
      </c>
      <c r="C33" s="1840" t="s">
        <v>268</v>
      </c>
      <c r="D33" s="612"/>
      <c r="E33" s="612"/>
      <c r="F33" s="612"/>
      <c r="G33" s="612"/>
      <c r="H33" s="612"/>
      <c r="I33" s="615"/>
      <c r="J33" s="612"/>
      <c r="K33" s="612"/>
      <c r="L33" s="615"/>
      <c r="M33" s="603"/>
    </row>
    <row r="34" spans="1:13">
      <c r="A34" s="609" t="s">
        <v>680</v>
      </c>
      <c r="B34" s="610" t="s">
        <v>675</v>
      </c>
      <c r="C34" s="611" t="s">
        <v>285</v>
      </c>
      <c r="D34" s="612"/>
      <c r="E34" s="612"/>
      <c r="F34" s="612"/>
      <c r="G34" s="612"/>
      <c r="H34" s="612"/>
      <c r="I34" s="603"/>
      <c r="J34" s="612"/>
      <c r="K34" s="612"/>
      <c r="L34" s="603"/>
      <c r="M34" s="603"/>
    </row>
    <row r="35" spans="1:13">
      <c r="A35" s="585"/>
      <c r="B35" s="585"/>
      <c r="C35" s="585"/>
      <c r="D35" s="585"/>
      <c r="E35" s="585"/>
      <c r="F35" s="585"/>
      <c r="G35" s="585"/>
      <c r="H35" s="585"/>
      <c r="I35" s="585"/>
      <c r="J35" s="585"/>
      <c r="K35" s="585"/>
      <c r="L35" s="585"/>
      <c r="M35" s="585"/>
    </row>
    <row r="36" spans="1:13">
      <c r="A36" s="585"/>
      <c r="B36" s="616"/>
      <c r="C36" s="617"/>
      <c r="D36" s="618"/>
      <c r="E36" s="617"/>
      <c r="F36" s="618"/>
      <c r="G36" s="618"/>
      <c r="H36" s="618"/>
      <c r="I36" s="585"/>
      <c r="J36" s="618"/>
      <c r="K36" s="618"/>
      <c r="L36" s="585"/>
      <c r="M36" s="618"/>
    </row>
    <row r="37" spans="1:13">
      <c r="A37" s="585"/>
      <c r="B37" s="617"/>
      <c r="C37" s="617"/>
      <c r="D37" s="617"/>
      <c r="E37" s="617"/>
      <c r="F37" s="617"/>
      <c r="G37" s="617"/>
      <c r="H37" s="585"/>
      <c r="I37" s="585"/>
      <c r="J37" s="617"/>
      <c r="K37" s="617"/>
      <c r="L37" s="585"/>
      <c r="M37" s="617"/>
    </row>
    <row r="38" spans="1:13">
      <c r="A38" s="585"/>
      <c r="B38" s="2341"/>
      <c r="C38" s="2341"/>
      <c r="D38" s="2341"/>
      <c r="E38" s="2341"/>
      <c r="F38" s="2341"/>
      <c r="G38" s="619"/>
      <c r="H38" s="620"/>
      <c r="I38" s="585"/>
      <c r="L38" s="585"/>
    </row>
    <row r="39" spans="1:13">
      <c r="A39" s="585"/>
      <c r="B39" s="585"/>
      <c r="C39" s="585"/>
      <c r="D39" s="585"/>
      <c r="E39" s="585"/>
      <c r="F39" s="585"/>
      <c r="G39" s="585"/>
      <c r="H39" s="585"/>
      <c r="I39" s="585"/>
      <c r="J39" s="585"/>
      <c r="K39" s="585"/>
      <c r="L39" s="585"/>
      <c r="M39" s="585"/>
    </row>
    <row r="41" spans="1:13">
      <c r="E41" s="2341"/>
      <c r="F41" s="2341"/>
      <c r="G41" s="2341"/>
      <c r="H41" s="2341"/>
    </row>
  </sheetData>
  <sheetProtection formatColumns="0" formatRows="0" insertHyperlinks="0"/>
  <mergeCells count="4">
    <mergeCell ref="A5:C5"/>
    <mergeCell ref="B38:F38"/>
    <mergeCell ref="E41:H41"/>
    <mergeCell ref="A4:M4"/>
  </mergeCells>
  <hyperlinks>
    <hyperlink ref="A1" location="'Перечень форм для заполнения'!A1" display="Вернуться к перечню форм"/>
  </hyperlinks>
  <pageMargins left="0.9055118110236221" right="0.41"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0">
    <tabColor rgb="FF92D050"/>
  </sheetPr>
  <dimension ref="A1:AN33"/>
  <sheetViews>
    <sheetView showGridLines="0" topLeftCell="S1" zoomScale="80" zoomScaleNormal="80" zoomScaleSheetLayoutView="70" workbookViewId="0">
      <selection activeCell="AR10" sqref="AR10"/>
    </sheetView>
  </sheetViews>
  <sheetFormatPr defaultColWidth="9.140625" defaultRowHeight="11.25" outlineLevelCol="1"/>
  <cols>
    <col min="1" max="1" width="3.7109375" style="621" customWidth="1"/>
    <col min="2" max="2" width="4.5703125" style="621" customWidth="1"/>
    <col min="3" max="3" width="27.28515625" style="621" customWidth="1"/>
    <col min="4" max="4" width="31.7109375" style="621" customWidth="1"/>
    <col min="5" max="6" width="19" style="621" customWidth="1"/>
    <col min="7" max="9" width="17.28515625" style="621" customWidth="1"/>
    <col min="10" max="10" width="17.7109375" style="621" customWidth="1"/>
    <col min="11" max="11" width="13.42578125" style="621" customWidth="1"/>
    <col min="12" max="12" width="15" style="621" customWidth="1"/>
    <col min="13" max="13" width="17.7109375" style="621" customWidth="1"/>
    <col min="14" max="14" width="13.5703125" style="621" customWidth="1"/>
    <col min="15" max="15" width="15.7109375" style="678" customWidth="1"/>
    <col min="16" max="17" width="15.42578125" style="678" customWidth="1"/>
    <col min="18" max="18" width="19.28515625" style="621" customWidth="1"/>
    <col min="19" max="19" width="22.28515625" style="621" customWidth="1"/>
    <col min="20" max="20" width="14.140625" style="621" customWidth="1"/>
    <col min="21" max="21" width="18.28515625" style="621" customWidth="1"/>
    <col min="22" max="22" width="15.85546875" style="621" customWidth="1"/>
    <col min="23" max="30" width="13.7109375" style="621" customWidth="1"/>
    <col min="31" max="31" width="26.28515625" style="621" customWidth="1"/>
    <col min="32" max="32" width="25.28515625" style="621" customWidth="1"/>
    <col min="33" max="33" width="14.42578125" style="621" customWidth="1"/>
    <col min="34" max="37" width="13.7109375" style="621" hidden="1" customWidth="1" outlineLevel="1"/>
    <col min="38" max="38" width="5.85546875" style="621" hidden="1" customWidth="1" outlineLevel="1"/>
    <col min="39" max="39" width="14.42578125" style="621" hidden="1" customWidth="1" outlineLevel="1"/>
    <col min="40" max="40" width="9.140625" style="621" collapsed="1"/>
    <col min="41" max="16384" width="9.140625" style="621"/>
  </cols>
  <sheetData>
    <row r="1" spans="1:39" ht="12.75">
      <c r="B1" s="210" t="s">
        <v>210</v>
      </c>
      <c r="E1" s="622" t="s">
        <v>681</v>
      </c>
      <c r="F1" s="622"/>
      <c r="N1" s="623"/>
      <c r="O1" s="624"/>
      <c r="P1" s="624"/>
      <c r="Q1" s="624"/>
      <c r="R1" s="623"/>
      <c r="S1" s="212"/>
      <c r="T1" s="212"/>
      <c r="U1" s="623"/>
      <c r="V1" s="623"/>
      <c r="W1" s="623"/>
      <c r="X1" s="623"/>
      <c r="Y1" s="623"/>
      <c r="Z1" s="623"/>
      <c r="AA1" s="623"/>
      <c r="AB1" s="623"/>
      <c r="AC1" s="623"/>
      <c r="AD1" s="623"/>
      <c r="AE1" s="623"/>
      <c r="AF1" s="623"/>
      <c r="AH1" s="623"/>
      <c r="AI1" s="623"/>
      <c r="AJ1" s="623"/>
      <c r="AK1" s="623"/>
      <c r="AL1" s="623"/>
    </row>
    <row r="2" spans="1:39" s="629" customFormat="1" ht="20.25">
      <c r="A2" s="625"/>
      <c r="B2" s="625"/>
      <c r="C2" s="625"/>
      <c r="D2" s="626"/>
      <c r="E2" s="622" t="s">
        <v>682</v>
      </c>
      <c r="F2" s="622"/>
      <c r="G2" s="625"/>
      <c r="H2" s="625"/>
      <c r="I2" s="625"/>
      <c r="J2" s="625"/>
      <c r="K2" s="625"/>
      <c r="L2" s="625"/>
      <c r="M2" s="625"/>
      <c r="N2" s="627"/>
      <c r="O2" s="628"/>
      <c r="P2" s="628"/>
      <c r="Q2" s="628"/>
      <c r="R2" s="627"/>
      <c r="S2" s="212"/>
      <c r="T2" s="212"/>
      <c r="U2" s="627"/>
      <c r="V2" s="627"/>
      <c r="W2" s="627"/>
      <c r="X2" s="627"/>
      <c r="Y2" s="627"/>
      <c r="Z2" s="627"/>
      <c r="AA2" s="627"/>
      <c r="AB2" s="627"/>
      <c r="AC2" s="627"/>
      <c r="AD2" s="627"/>
      <c r="AE2" s="627"/>
      <c r="AF2" s="627"/>
      <c r="AG2" s="627"/>
      <c r="AH2" s="627"/>
      <c r="AI2" s="627"/>
      <c r="AJ2" s="627"/>
      <c r="AK2" s="627"/>
      <c r="AL2" s="627"/>
      <c r="AM2" s="627"/>
    </row>
    <row r="3" spans="1:39" s="631" customFormat="1">
      <c r="A3" s="630"/>
      <c r="D3" s="632"/>
      <c r="E3" s="632"/>
      <c r="F3" s="632"/>
      <c r="N3" s="633"/>
    </row>
    <row r="4" spans="1:39" s="637" customFormat="1" ht="18.75">
      <c r="A4" s="630"/>
      <c r="B4" s="2344" t="str">
        <f>"Форма для представления сведений по аренде электросетевого имущества за "&amp;'0. Анкета'!C15-2&amp;" год"</f>
        <v>Форма для представления сведений по аренде электросетевого имущества за 2022 год</v>
      </c>
      <c r="C4" s="2344"/>
      <c r="D4" s="2344"/>
      <c r="E4" s="2344"/>
      <c r="F4" s="2344"/>
      <c r="G4" s="2344"/>
      <c r="H4" s="2344"/>
      <c r="I4" s="2344"/>
      <c r="J4" s="2344"/>
      <c r="K4" s="2344"/>
      <c r="L4" s="2344"/>
      <c r="M4" s="2344"/>
      <c r="N4" s="2344"/>
      <c r="O4" s="2344"/>
      <c r="P4" s="2344"/>
      <c r="Q4" s="634"/>
      <c r="R4" s="635"/>
      <c r="S4" s="635"/>
      <c r="T4" s="635"/>
      <c r="U4" s="635"/>
      <c r="V4" s="635"/>
      <c r="W4" s="635"/>
      <c r="X4" s="635"/>
      <c r="Y4" s="635"/>
      <c r="Z4" s="635"/>
      <c r="AA4" s="635"/>
      <c r="AB4" s="635"/>
      <c r="AC4" s="635"/>
      <c r="AD4" s="635"/>
      <c r="AE4" s="635"/>
      <c r="AF4" s="635"/>
      <c r="AG4" s="636"/>
      <c r="AH4" s="635"/>
      <c r="AI4" s="635"/>
      <c r="AJ4" s="635"/>
      <c r="AK4" s="635"/>
      <c r="AL4" s="635"/>
      <c r="AM4" s="636"/>
    </row>
    <row r="5" spans="1:39" s="637" customFormat="1" ht="12">
      <c r="A5" s="630"/>
      <c r="B5" s="638"/>
      <c r="C5" s="638"/>
      <c r="D5" s="638"/>
      <c r="E5" s="638"/>
      <c r="F5" s="638"/>
      <c r="G5" s="638"/>
      <c r="H5" s="638"/>
      <c r="I5" s="638"/>
      <c r="J5" s="638"/>
      <c r="K5" s="638"/>
      <c r="L5" s="638"/>
      <c r="M5" s="638"/>
      <c r="N5" s="639"/>
      <c r="O5" s="638"/>
      <c r="P5" s="640"/>
      <c r="Q5" s="640"/>
      <c r="R5" s="640"/>
      <c r="S5" s="640"/>
      <c r="T5" s="640"/>
      <c r="U5" s="640"/>
      <c r="V5" s="640"/>
      <c r="W5" s="640"/>
      <c r="X5" s="640"/>
      <c r="Y5" s="640"/>
      <c r="Z5" s="640"/>
      <c r="AA5" s="640"/>
      <c r="AB5" s="640"/>
      <c r="AC5" s="640"/>
      <c r="AD5" s="640"/>
      <c r="AE5" s="640"/>
      <c r="AF5" s="640"/>
      <c r="AH5" s="640"/>
      <c r="AI5" s="640"/>
      <c r="AJ5" s="640"/>
      <c r="AK5" s="640"/>
      <c r="AL5" s="640"/>
    </row>
    <row r="6" spans="1:39" s="642" customFormat="1" ht="18.75" customHeight="1">
      <c r="A6" s="641"/>
      <c r="B6" s="2345" t="s">
        <v>12</v>
      </c>
      <c r="C6" s="2345" t="s">
        <v>683</v>
      </c>
      <c r="D6" s="2345" t="s">
        <v>684</v>
      </c>
      <c r="E6" s="2343" t="s">
        <v>555</v>
      </c>
      <c r="F6" s="2343" t="s">
        <v>685</v>
      </c>
      <c r="G6" s="2343" t="s">
        <v>686</v>
      </c>
      <c r="H6" s="2345" t="s">
        <v>687</v>
      </c>
      <c r="I6" s="2345" t="s">
        <v>688</v>
      </c>
      <c r="J6" s="2345" t="s">
        <v>689</v>
      </c>
      <c r="K6" s="2346" t="s">
        <v>690</v>
      </c>
      <c r="L6" s="2347"/>
      <c r="M6" s="2345" t="s">
        <v>691</v>
      </c>
      <c r="N6" s="2343" t="s">
        <v>692</v>
      </c>
      <c r="O6" s="2343" t="s">
        <v>693</v>
      </c>
      <c r="P6" s="2343" t="s">
        <v>694</v>
      </c>
      <c r="Q6" s="2343" t="s">
        <v>695</v>
      </c>
      <c r="R6" s="2343" t="s">
        <v>696</v>
      </c>
      <c r="S6" s="2343" t="s">
        <v>2176</v>
      </c>
      <c r="T6" s="2355" t="str">
        <f>"Величина арендной платы за владение и (или) пользование имуществом за "&amp;'0. Анкета'!C15-2&amp;" год, тыс. руб. (без НДС)"</f>
        <v>Величина арендной платы за владение и (или) пользование имуществом за 2022 год, тыс. руб. (без НДС)</v>
      </c>
      <c r="U6" s="2355"/>
      <c r="V6" s="2355"/>
      <c r="W6" s="2355"/>
      <c r="X6" s="2355"/>
      <c r="Y6" s="2355"/>
      <c r="Z6" s="2355"/>
      <c r="AA6" s="2356" t="s">
        <v>697</v>
      </c>
      <c r="AB6" s="2356"/>
      <c r="AC6" s="2356"/>
      <c r="AD6" s="2356"/>
      <c r="AE6" s="2352" t="s">
        <v>698</v>
      </c>
      <c r="AF6" s="2352" t="s">
        <v>699</v>
      </c>
      <c r="AG6" s="2363" t="s">
        <v>507</v>
      </c>
      <c r="AH6" s="2364" t="str">
        <f>"Регулятор факт за "&amp;'0. Анкета'!C15-2&amp;" год, тыс. руб. (без НДС)"</f>
        <v>Регулятор факт за 2022 год, тыс. руб. (без НДС)</v>
      </c>
      <c r="AI6" s="2365"/>
      <c r="AJ6" s="2365"/>
      <c r="AK6" s="2365"/>
      <c r="AL6" s="2366"/>
      <c r="AM6" s="2363" t="s">
        <v>2218</v>
      </c>
    </row>
    <row r="7" spans="1:39" s="642" customFormat="1" ht="24" customHeight="1">
      <c r="A7" s="641"/>
      <c r="B7" s="2345"/>
      <c r="C7" s="2345"/>
      <c r="D7" s="2345"/>
      <c r="E7" s="2343"/>
      <c r="F7" s="2343"/>
      <c r="G7" s="2343"/>
      <c r="H7" s="2345"/>
      <c r="I7" s="2345"/>
      <c r="J7" s="2345"/>
      <c r="K7" s="2348"/>
      <c r="L7" s="2349"/>
      <c r="M7" s="2345"/>
      <c r="N7" s="2343"/>
      <c r="O7" s="2343"/>
      <c r="P7" s="2343"/>
      <c r="Q7" s="2343"/>
      <c r="R7" s="2343"/>
      <c r="S7" s="2343"/>
      <c r="T7" s="2343" t="str">
        <f>'0. Анкета'!C15-2&amp;", факт (отражен в отчете об исполнении сметы расходов)"</f>
        <v>2022, факт (отражен в отчете об исполнении сметы расходов)</v>
      </c>
      <c r="U7" s="2357" t="str">
        <f>'0. Анкета'!C15-2&amp;" факт, подтвержденный первичными документами (договоры/акты и пр.)"</f>
        <v>2022 факт, подтвержденный первичными документами (договоры/акты и пр.)</v>
      </c>
      <c r="V7" s="2357" t="str">
        <f>'0. Анкета'!C15-2&amp;" факт, подтвержденный  бухгалтерскими документами (оборотно-сальдовые ведомости, карточки счетов)"</f>
        <v>2022 факт, подтвержденный  бухгалтерскими документами (оборотно-сальдовые ведомости, карточки счетов)</v>
      </c>
      <c r="W7" s="2343" t="s">
        <v>700</v>
      </c>
      <c r="X7" s="2343"/>
      <c r="Y7" s="2343"/>
      <c r="Z7" s="2343"/>
      <c r="AA7" s="2356"/>
      <c r="AB7" s="2356"/>
      <c r="AC7" s="2356"/>
      <c r="AD7" s="2356"/>
      <c r="AE7" s="2352"/>
      <c r="AF7" s="2352"/>
      <c r="AG7" s="2363"/>
      <c r="AH7" s="2367"/>
      <c r="AI7" s="2368"/>
      <c r="AJ7" s="2368"/>
      <c r="AK7" s="2368"/>
      <c r="AL7" s="2369"/>
      <c r="AM7" s="2363"/>
    </row>
    <row r="8" spans="1:39" s="642" customFormat="1" ht="30.6" customHeight="1">
      <c r="A8" s="641"/>
      <c r="B8" s="2345"/>
      <c r="C8" s="2345"/>
      <c r="D8" s="2345"/>
      <c r="E8" s="2343"/>
      <c r="F8" s="2343"/>
      <c r="G8" s="2343"/>
      <c r="H8" s="2345"/>
      <c r="I8" s="2345"/>
      <c r="J8" s="2345"/>
      <c r="K8" s="2350"/>
      <c r="L8" s="2351"/>
      <c r="M8" s="2345"/>
      <c r="N8" s="2343"/>
      <c r="O8" s="2343"/>
      <c r="P8" s="2343"/>
      <c r="Q8" s="2343"/>
      <c r="R8" s="2343"/>
      <c r="S8" s="2343"/>
      <c r="T8" s="2343"/>
      <c r="U8" s="2358"/>
      <c r="V8" s="2358"/>
      <c r="W8" s="2343" t="s">
        <v>172</v>
      </c>
      <c r="X8" s="2343" t="s">
        <v>701</v>
      </c>
      <c r="Y8" s="2343"/>
      <c r="Z8" s="2343"/>
      <c r="AA8" s="2353" t="s">
        <v>172</v>
      </c>
      <c r="AB8" s="2353" t="s">
        <v>702</v>
      </c>
      <c r="AC8" s="2353" t="s">
        <v>703</v>
      </c>
      <c r="AD8" s="2353" t="s">
        <v>704</v>
      </c>
      <c r="AE8" s="2352"/>
      <c r="AF8" s="2352"/>
      <c r="AG8" s="2363"/>
      <c r="AH8" s="2343" t="s">
        <v>705</v>
      </c>
      <c r="AI8" s="2360" t="s">
        <v>706</v>
      </c>
      <c r="AJ8" s="2361"/>
      <c r="AK8" s="2361"/>
      <c r="AL8" s="2362"/>
      <c r="AM8" s="2363"/>
    </row>
    <row r="9" spans="1:39" s="642" customFormat="1" ht="63.75" customHeight="1">
      <c r="A9" s="641"/>
      <c r="B9" s="2345"/>
      <c r="C9" s="2345"/>
      <c r="D9" s="2345"/>
      <c r="E9" s="2343"/>
      <c r="F9" s="2343"/>
      <c r="G9" s="2343"/>
      <c r="H9" s="2345"/>
      <c r="I9" s="2345"/>
      <c r="J9" s="2345"/>
      <c r="K9" s="643" t="s">
        <v>707</v>
      </c>
      <c r="L9" s="643" t="s">
        <v>708</v>
      </c>
      <c r="M9" s="2345"/>
      <c r="N9" s="2343"/>
      <c r="O9" s="2343"/>
      <c r="P9" s="2343"/>
      <c r="Q9" s="2343"/>
      <c r="R9" s="2343"/>
      <c r="S9" s="2343"/>
      <c r="T9" s="2343"/>
      <c r="U9" s="2359"/>
      <c r="V9" s="2359"/>
      <c r="W9" s="2343"/>
      <c r="X9" s="644" t="s">
        <v>709</v>
      </c>
      <c r="Y9" s="644" t="s">
        <v>710</v>
      </c>
      <c r="Z9" s="644" t="s">
        <v>711</v>
      </c>
      <c r="AA9" s="2354"/>
      <c r="AB9" s="2354"/>
      <c r="AC9" s="2354"/>
      <c r="AD9" s="2354"/>
      <c r="AE9" s="2352"/>
      <c r="AF9" s="2352"/>
      <c r="AG9" s="2363"/>
      <c r="AH9" s="2343"/>
      <c r="AI9" s="644" t="s">
        <v>172</v>
      </c>
      <c r="AJ9" s="644" t="s">
        <v>709</v>
      </c>
      <c r="AK9" s="644" t="s">
        <v>710</v>
      </c>
      <c r="AL9" s="644" t="s">
        <v>711</v>
      </c>
      <c r="AM9" s="2363"/>
    </row>
    <row r="10" spans="1:39" s="642" customFormat="1">
      <c r="A10" s="641"/>
      <c r="B10" s="645">
        <v>1</v>
      </c>
      <c r="C10" s="646">
        <f>B10+1</f>
        <v>2</v>
      </c>
      <c r="D10" s="646">
        <f>C10+1</f>
        <v>3</v>
      </c>
      <c r="E10" s="646">
        <f t="shared" ref="E10:AM10" si="0">D10+1</f>
        <v>4</v>
      </c>
      <c r="F10" s="646">
        <f t="shared" si="0"/>
        <v>5</v>
      </c>
      <c r="G10" s="646">
        <f t="shared" si="0"/>
        <v>6</v>
      </c>
      <c r="H10" s="646">
        <f t="shared" si="0"/>
        <v>7</v>
      </c>
      <c r="I10" s="646">
        <f t="shared" si="0"/>
        <v>8</v>
      </c>
      <c r="J10" s="646">
        <f t="shared" si="0"/>
        <v>9</v>
      </c>
      <c r="K10" s="646">
        <f t="shared" si="0"/>
        <v>10</v>
      </c>
      <c r="L10" s="646">
        <f t="shared" si="0"/>
        <v>11</v>
      </c>
      <c r="M10" s="646">
        <f t="shared" si="0"/>
        <v>12</v>
      </c>
      <c r="N10" s="646">
        <f t="shared" si="0"/>
        <v>13</v>
      </c>
      <c r="O10" s="646">
        <f t="shared" si="0"/>
        <v>14</v>
      </c>
      <c r="P10" s="646">
        <f t="shared" si="0"/>
        <v>15</v>
      </c>
      <c r="Q10" s="646">
        <f t="shared" si="0"/>
        <v>16</v>
      </c>
      <c r="R10" s="646">
        <f t="shared" si="0"/>
        <v>17</v>
      </c>
      <c r="S10" s="646">
        <f t="shared" si="0"/>
        <v>18</v>
      </c>
      <c r="T10" s="646">
        <f t="shared" si="0"/>
        <v>19</v>
      </c>
      <c r="U10" s="646">
        <f t="shared" si="0"/>
        <v>20</v>
      </c>
      <c r="V10" s="646">
        <f t="shared" si="0"/>
        <v>21</v>
      </c>
      <c r="W10" s="646">
        <f t="shared" si="0"/>
        <v>22</v>
      </c>
      <c r="X10" s="646">
        <f t="shared" si="0"/>
        <v>23</v>
      </c>
      <c r="Y10" s="646">
        <f t="shared" si="0"/>
        <v>24</v>
      </c>
      <c r="Z10" s="646">
        <f t="shared" si="0"/>
        <v>25</v>
      </c>
      <c r="AA10" s="646">
        <f t="shared" si="0"/>
        <v>26</v>
      </c>
      <c r="AB10" s="646">
        <f t="shared" si="0"/>
        <v>27</v>
      </c>
      <c r="AC10" s="646">
        <f t="shared" si="0"/>
        <v>28</v>
      </c>
      <c r="AD10" s="646">
        <f t="shared" si="0"/>
        <v>29</v>
      </c>
      <c r="AE10" s="646">
        <f t="shared" si="0"/>
        <v>30</v>
      </c>
      <c r="AF10" s="646">
        <f t="shared" si="0"/>
        <v>31</v>
      </c>
      <c r="AG10" s="646">
        <f t="shared" si="0"/>
        <v>32</v>
      </c>
      <c r="AH10" s="646">
        <f t="shared" si="0"/>
        <v>33</v>
      </c>
      <c r="AI10" s="646">
        <f t="shared" si="0"/>
        <v>34</v>
      </c>
      <c r="AJ10" s="646">
        <f t="shared" si="0"/>
        <v>35</v>
      </c>
      <c r="AK10" s="646">
        <f t="shared" si="0"/>
        <v>36</v>
      </c>
      <c r="AL10" s="646">
        <f t="shared" si="0"/>
        <v>37</v>
      </c>
      <c r="AM10" s="646">
        <f t="shared" si="0"/>
        <v>38</v>
      </c>
    </row>
    <row r="11" spans="1:39" ht="24">
      <c r="A11" s="647"/>
      <c r="B11" s="648">
        <f>ROW()-ROW(B$10)</f>
        <v>1</v>
      </c>
      <c r="C11" s="649" t="s">
        <v>681</v>
      </c>
      <c r="D11" s="650"/>
      <c r="E11" s="651"/>
      <c r="F11" s="651"/>
      <c r="G11" s="652"/>
      <c r="H11" s="653"/>
      <c r="I11" s="653"/>
      <c r="J11" s="654"/>
      <c r="K11" s="651"/>
      <c r="L11" s="651"/>
      <c r="M11" s="651"/>
      <c r="N11" s="653"/>
      <c r="O11" s="650"/>
      <c r="P11" s="651"/>
      <c r="Q11" s="651"/>
      <c r="R11" s="655"/>
      <c r="S11" s="656"/>
      <c r="T11" s="657"/>
      <c r="U11" s="657"/>
      <c r="V11" s="657"/>
      <c r="W11" s="658">
        <f>SUM(X11:Z11)</f>
        <v>0</v>
      </c>
      <c r="X11" s="657"/>
      <c r="Y11" s="657"/>
      <c r="Z11" s="657"/>
      <c r="AA11" s="659">
        <f>SUM(AB11,AD11)</f>
        <v>0</v>
      </c>
      <c r="AB11" s="660"/>
      <c r="AC11" s="661">
        <f>IFERROR(AB11/AA11,0)</f>
        <v>0</v>
      </c>
      <c r="AD11" s="657"/>
      <c r="AE11" s="662"/>
      <c r="AF11" s="663"/>
      <c r="AG11" s="664"/>
      <c r="AH11" s="657"/>
      <c r="AI11" s="658">
        <f>SUM(AJ11:AL11)</f>
        <v>0</v>
      </c>
      <c r="AJ11" s="657"/>
      <c r="AK11" s="657"/>
      <c r="AL11" s="657"/>
      <c r="AM11" s="664"/>
    </row>
    <row r="12" spans="1:39" ht="24">
      <c r="A12" s="647"/>
      <c r="B12" s="648">
        <f t="shared" ref="B12:B20" si="1">ROW()-ROW(B$10)</f>
        <v>2</v>
      </c>
      <c r="C12" s="649" t="s">
        <v>681</v>
      </c>
      <c r="D12" s="650"/>
      <c r="E12" s="651"/>
      <c r="F12" s="651"/>
      <c r="G12" s="652"/>
      <c r="H12" s="653"/>
      <c r="I12" s="653"/>
      <c r="J12" s="654"/>
      <c r="K12" s="651"/>
      <c r="L12" s="651"/>
      <c r="M12" s="651"/>
      <c r="N12" s="653"/>
      <c r="O12" s="650"/>
      <c r="P12" s="651"/>
      <c r="Q12" s="651"/>
      <c r="R12" s="655"/>
      <c r="S12" s="656"/>
      <c r="T12" s="657"/>
      <c r="U12" s="657"/>
      <c r="V12" s="657"/>
      <c r="W12" s="658">
        <f t="shared" ref="W12:W20" si="2">SUM(X12:Z12)</f>
        <v>0</v>
      </c>
      <c r="X12" s="657"/>
      <c r="Y12" s="657"/>
      <c r="Z12" s="657"/>
      <c r="AA12" s="659">
        <f t="shared" ref="AA12:AA20" si="3">SUM(AB12,AD12)</f>
        <v>0</v>
      </c>
      <c r="AB12" s="660"/>
      <c r="AC12" s="661">
        <f>IFERROR(AB12/AA12,0)</f>
        <v>0</v>
      </c>
      <c r="AD12" s="657"/>
      <c r="AE12" s="662"/>
      <c r="AF12" s="663"/>
      <c r="AG12" s="664"/>
      <c r="AH12" s="657"/>
      <c r="AI12" s="658">
        <f t="shared" ref="AI12:AI20" si="4">SUM(AJ12:AL12)</f>
        <v>0</v>
      </c>
      <c r="AJ12" s="657"/>
      <c r="AK12" s="657"/>
      <c r="AL12" s="657"/>
      <c r="AM12" s="664"/>
    </row>
    <row r="13" spans="1:39" ht="24">
      <c r="B13" s="648">
        <f t="shared" si="1"/>
        <v>3</v>
      </c>
      <c r="C13" s="649" t="s">
        <v>681</v>
      </c>
      <c r="D13" s="650"/>
      <c r="E13" s="651"/>
      <c r="F13" s="651"/>
      <c r="G13" s="665"/>
      <c r="H13" s="653"/>
      <c r="I13" s="666"/>
      <c r="J13" s="651"/>
      <c r="K13" s="651"/>
      <c r="L13" s="651"/>
      <c r="M13" s="651"/>
      <c r="N13" s="653"/>
      <c r="O13" s="650"/>
      <c r="P13" s="651"/>
      <c r="Q13" s="651"/>
      <c r="R13" s="655"/>
      <c r="S13" s="656"/>
      <c r="T13" s="657"/>
      <c r="U13" s="657"/>
      <c r="V13" s="657"/>
      <c r="W13" s="658">
        <f t="shared" si="2"/>
        <v>0</v>
      </c>
      <c r="X13" s="657"/>
      <c r="Y13" s="657"/>
      <c r="Z13" s="657"/>
      <c r="AA13" s="659">
        <f t="shared" si="3"/>
        <v>0</v>
      </c>
      <c r="AB13" s="660"/>
      <c r="AC13" s="661">
        <f t="shared" ref="AC13:AC20" si="5">IFERROR(AB13/AA13,0)</f>
        <v>0</v>
      </c>
      <c r="AD13" s="657"/>
      <c r="AE13" s="662"/>
      <c r="AF13" s="663"/>
      <c r="AG13" s="664"/>
      <c r="AH13" s="657"/>
      <c r="AI13" s="658">
        <f t="shared" si="4"/>
        <v>0</v>
      </c>
      <c r="AJ13" s="657"/>
      <c r="AK13" s="657"/>
      <c r="AL13" s="657"/>
      <c r="AM13" s="664"/>
    </row>
    <row r="14" spans="1:39" ht="24">
      <c r="B14" s="648">
        <f t="shared" si="1"/>
        <v>4</v>
      </c>
      <c r="C14" s="649" t="s">
        <v>681</v>
      </c>
      <c r="D14" s="650"/>
      <c r="E14" s="651"/>
      <c r="F14" s="651"/>
      <c r="G14" s="652"/>
      <c r="H14" s="653"/>
      <c r="I14" s="653"/>
      <c r="J14" s="651"/>
      <c r="K14" s="651"/>
      <c r="L14" s="651"/>
      <c r="M14" s="651"/>
      <c r="N14" s="653"/>
      <c r="O14" s="650"/>
      <c r="P14" s="651"/>
      <c r="Q14" s="651"/>
      <c r="R14" s="655"/>
      <c r="S14" s="656"/>
      <c r="T14" s="657"/>
      <c r="U14" s="657"/>
      <c r="V14" s="657"/>
      <c r="W14" s="658">
        <f t="shared" si="2"/>
        <v>0</v>
      </c>
      <c r="X14" s="657"/>
      <c r="Y14" s="657"/>
      <c r="Z14" s="657"/>
      <c r="AA14" s="659">
        <f t="shared" si="3"/>
        <v>0</v>
      </c>
      <c r="AB14" s="660"/>
      <c r="AC14" s="661">
        <f t="shared" si="5"/>
        <v>0</v>
      </c>
      <c r="AD14" s="657"/>
      <c r="AE14" s="662"/>
      <c r="AF14" s="663"/>
      <c r="AG14" s="664"/>
      <c r="AH14" s="657"/>
      <c r="AI14" s="658">
        <f t="shared" si="4"/>
        <v>0</v>
      </c>
      <c r="AJ14" s="657"/>
      <c r="AK14" s="657"/>
      <c r="AL14" s="657"/>
      <c r="AM14" s="664"/>
    </row>
    <row r="15" spans="1:39" ht="24">
      <c r="A15" s="647"/>
      <c r="B15" s="648">
        <f t="shared" si="1"/>
        <v>5</v>
      </c>
      <c r="C15" s="649" t="s">
        <v>681</v>
      </c>
      <c r="D15" s="650"/>
      <c r="E15" s="651"/>
      <c r="F15" s="651"/>
      <c r="G15" s="652"/>
      <c r="H15" s="653"/>
      <c r="I15" s="653"/>
      <c r="J15" s="651"/>
      <c r="K15" s="651"/>
      <c r="L15" s="651"/>
      <c r="M15" s="651"/>
      <c r="N15" s="653"/>
      <c r="O15" s="650"/>
      <c r="P15" s="651"/>
      <c r="Q15" s="651"/>
      <c r="R15" s="655"/>
      <c r="S15" s="656"/>
      <c r="T15" s="657"/>
      <c r="U15" s="657"/>
      <c r="V15" s="657"/>
      <c r="W15" s="658">
        <f t="shared" si="2"/>
        <v>0</v>
      </c>
      <c r="X15" s="657"/>
      <c r="Y15" s="657"/>
      <c r="Z15" s="657"/>
      <c r="AA15" s="659">
        <f t="shared" si="3"/>
        <v>0</v>
      </c>
      <c r="AB15" s="660"/>
      <c r="AC15" s="661">
        <f t="shared" si="5"/>
        <v>0</v>
      </c>
      <c r="AD15" s="657"/>
      <c r="AE15" s="662"/>
      <c r="AF15" s="663"/>
      <c r="AG15" s="664"/>
      <c r="AH15" s="657"/>
      <c r="AI15" s="658">
        <f t="shared" si="4"/>
        <v>0</v>
      </c>
      <c r="AJ15" s="657"/>
      <c r="AK15" s="657"/>
      <c r="AL15" s="657"/>
      <c r="AM15" s="664"/>
    </row>
    <row r="16" spans="1:39" ht="24">
      <c r="A16" s="647"/>
      <c r="B16" s="648">
        <f t="shared" si="1"/>
        <v>6</v>
      </c>
      <c r="C16" s="649" t="s">
        <v>681</v>
      </c>
      <c r="D16" s="650"/>
      <c r="E16" s="651"/>
      <c r="F16" s="651"/>
      <c r="G16" s="665"/>
      <c r="H16" s="653"/>
      <c r="I16" s="666"/>
      <c r="J16" s="651"/>
      <c r="K16" s="651"/>
      <c r="L16" s="651"/>
      <c r="M16" s="651"/>
      <c r="N16" s="653"/>
      <c r="O16" s="650"/>
      <c r="P16" s="651"/>
      <c r="Q16" s="651"/>
      <c r="R16" s="655"/>
      <c r="S16" s="656"/>
      <c r="T16" s="657"/>
      <c r="U16" s="657"/>
      <c r="V16" s="657"/>
      <c r="W16" s="658">
        <f t="shared" si="2"/>
        <v>0</v>
      </c>
      <c r="X16" s="657"/>
      <c r="Y16" s="657"/>
      <c r="Z16" s="657"/>
      <c r="AA16" s="659">
        <f>SUM(AB16,AD16)</f>
        <v>0</v>
      </c>
      <c r="AB16" s="660"/>
      <c r="AC16" s="661">
        <f t="shared" si="5"/>
        <v>0</v>
      </c>
      <c r="AD16" s="657"/>
      <c r="AE16" s="662"/>
      <c r="AF16" s="663"/>
      <c r="AG16" s="664"/>
      <c r="AH16" s="657"/>
      <c r="AI16" s="658">
        <f t="shared" si="4"/>
        <v>0</v>
      </c>
      <c r="AJ16" s="657"/>
      <c r="AK16" s="657"/>
      <c r="AL16" s="657"/>
      <c r="AM16" s="664"/>
    </row>
    <row r="17" spans="1:39" ht="24">
      <c r="B17" s="648">
        <f t="shared" si="1"/>
        <v>7</v>
      </c>
      <c r="C17" s="649" t="s">
        <v>681</v>
      </c>
      <c r="D17" s="650"/>
      <c r="E17" s="651"/>
      <c r="F17" s="651"/>
      <c r="G17" s="652"/>
      <c r="H17" s="653"/>
      <c r="I17" s="653"/>
      <c r="J17" s="654"/>
      <c r="K17" s="651"/>
      <c r="L17" s="651"/>
      <c r="M17" s="651"/>
      <c r="N17" s="653"/>
      <c r="O17" s="650"/>
      <c r="P17" s="651"/>
      <c r="Q17" s="651"/>
      <c r="R17" s="655"/>
      <c r="S17" s="656"/>
      <c r="T17" s="657"/>
      <c r="U17" s="657"/>
      <c r="V17" s="657"/>
      <c r="W17" s="658">
        <f t="shared" si="2"/>
        <v>0</v>
      </c>
      <c r="X17" s="657"/>
      <c r="Y17" s="657"/>
      <c r="Z17" s="657"/>
      <c r="AA17" s="659">
        <f t="shared" si="3"/>
        <v>0</v>
      </c>
      <c r="AB17" s="660"/>
      <c r="AC17" s="661">
        <f t="shared" si="5"/>
        <v>0</v>
      </c>
      <c r="AD17" s="657"/>
      <c r="AE17" s="662"/>
      <c r="AF17" s="663"/>
      <c r="AG17" s="664"/>
      <c r="AH17" s="657"/>
      <c r="AI17" s="658">
        <f t="shared" si="4"/>
        <v>0</v>
      </c>
      <c r="AJ17" s="657"/>
      <c r="AK17" s="657"/>
      <c r="AL17" s="657"/>
      <c r="AM17" s="664"/>
    </row>
    <row r="18" spans="1:39" ht="24">
      <c r="B18" s="648">
        <f t="shared" si="1"/>
        <v>8</v>
      </c>
      <c r="C18" s="649" t="s">
        <v>681</v>
      </c>
      <c r="D18" s="650"/>
      <c r="E18" s="651"/>
      <c r="F18" s="651"/>
      <c r="G18" s="665"/>
      <c r="H18" s="653"/>
      <c r="I18" s="666"/>
      <c r="J18" s="654"/>
      <c r="K18" s="651"/>
      <c r="L18" s="651"/>
      <c r="M18" s="654"/>
      <c r="N18" s="653"/>
      <c r="O18" s="652"/>
      <c r="P18" s="651"/>
      <c r="Q18" s="651"/>
      <c r="R18" s="655"/>
      <c r="S18" s="656"/>
      <c r="T18" s="657"/>
      <c r="U18" s="657"/>
      <c r="V18" s="657"/>
      <c r="W18" s="658">
        <f t="shared" si="2"/>
        <v>0</v>
      </c>
      <c r="X18" s="657"/>
      <c r="Y18" s="657"/>
      <c r="Z18" s="657"/>
      <c r="AA18" s="659">
        <f t="shared" si="3"/>
        <v>0</v>
      </c>
      <c r="AB18" s="660"/>
      <c r="AC18" s="661">
        <f t="shared" si="5"/>
        <v>0</v>
      </c>
      <c r="AD18" s="657"/>
      <c r="AE18" s="662"/>
      <c r="AF18" s="663"/>
      <c r="AG18" s="664"/>
      <c r="AH18" s="657"/>
      <c r="AI18" s="658">
        <f t="shared" si="4"/>
        <v>0</v>
      </c>
      <c r="AJ18" s="657"/>
      <c r="AK18" s="657"/>
      <c r="AL18" s="657"/>
      <c r="AM18" s="664"/>
    </row>
    <row r="19" spans="1:39" ht="24">
      <c r="A19" s="647"/>
      <c r="B19" s="648">
        <f t="shared" si="1"/>
        <v>9</v>
      </c>
      <c r="C19" s="649" t="s">
        <v>681</v>
      </c>
      <c r="D19" s="650"/>
      <c r="E19" s="667"/>
      <c r="F19" s="667"/>
      <c r="G19" s="665"/>
      <c r="H19" s="653"/>
      <c r="I19" s="666"/>
      <c r="J19" s="654"/>
      <c r="K19" s="651"/>
      <c r="L19" s="651"/>
      <c r="M19" s="667"/>
      <c r="N19" s="653"/>
      <c r="O19" s="652"/>
      <c r="P19" s="651"/>
      <c r="Q19" s="667"/>
      <c r="R19" s="655"/>
      <c r="S19" s="656"/>
      <c r="T19" s="657"/>
      <c r="U19" s="657"/>
      <c r="V19" s="657"/>
      <c r="W19" s="658">
        <f t="shared" si="2"/>
        <v>0</v>
      </c>
      <c r="X19" s="657"/>
      <c r="Y19" s="657"/>
      <c r="Z19" s="657"/>
      <c r="AA19" s="659">
        <f t="shared" si="3"/>
        <v>0</v>
      </c>
      <c r="AB19" s="660"/>
      <c r="AC19" s="661">
        <f t="shared" si="5"/>
        <v>0</v>
      </c>
      <c r="AD19" s="657"/>
      <c r="AE19" s="662"/>
      <c r="AF19" s="663"/>
      <c r="AG19" s="664"/>
      <c r="AH19" s="657"/>
      <c r="AI19" s="658">
        <f t="shared" si="4"/>
        <v>0</v>
      </c>
      <c r="AJ19" s="657"/>
      <c r="AK19" s="657"/>
      <c r="AL19" s="657"/>
      <c r="AM19" s="664"/>
    </row>
    <row r="20" spans="1:39" ht="24">
      <c r="A20" s="647"/>
      <c r="B20" s="648">
        <f t="shared" si="1"/>
        <v>10</v>
      </c>
      <c r="C20" s="649" t="s">
        <v>681</v>
      </c>
      <c r="D20" s="650"/>
      <c r="E20" s="667"/>
      <c r="F20" s="667"/>
      <c r="G20" s="665"/>
      <c r="H20" s="653"/>
      <c r="I20" s="666"/>
      <c r="J20" s="654"/>
      <c r="K20" s="651"/>
      <c r="L20" s="651"/>
      <c r="M20" s="667"/>
      <c r="N20" s="653"/>
      <c r="O20" s="652"/>
      <c r="P20" s="651"/>
      <c r="Q20" s="667"/>
      <c r="R20" s="655"/>
      <c r="S20" s="656"/>
      <c r="T20" s="657"/>
      <c r="U20" s="657"/>
      <c r="V20" s="657"/>
      <c r="W20" s="658">
        <f t="shared" si="2"/>
        <v>0</v>
      </c>
      <c r="X20" s="657"/>
      <c r="Y20" s="657"/>
      <c r="Z20" s="657"/>
      <c r="AA20" s="659">
        <f t="shared" si="3"/>
        <v>0</v>
      </c>
      <c r="AB20" s="660"/>
      <c r="AC20" s="661">
        <f t="shared" si="5"/>
        <v>0</v>
      </c>
      <c r="AD20" s="657"/>
      <c r="AE20" s="662"/>
      <c r="AF20" s="663"/>
      <c r="AG20" s="664"/>
      <c r="AH20" s="657"/>
      <c r="AI20" s="658">
        <f t="shared" si="4"/>
        <v>0</v>
      </c>
      <c r="AJ20" s="657"/>
      <c r="AK20" s="657"/>
      <c r="AL20" s="657"/>
      <c r="AM20" s="664"/>
    </row>
    <row r="21" spans="1:39" ht="14.25">
      <c r="B21" s="552"/>
      <c r="C21" s="473" t="s">
        <v>7</v>
      </c>
      <c r="D21" s="552"/>
      <c r="E21" s="552"/>
      <c r="F21" s="427"/>
      <c r="G21" s="552"/>
      <c r="H21" s="552"/>
      <c r="I21" s="552"/>
      <c r="J21" s="668"/>
      <c r="K21" s="668"/>
      <c r="L21" s="668"/>
      <c r="M21" s="668"/>
      <c r="N21" s="427"/>
      <c r="O21" s="427"/>
      <c r="P21" s="427"/>
      <c r="Q21" s="427"/>
      <c r="R21" s="427"/>
      <c r="S21" s="427"/>
      <c r="T21" s="469"/>
      <c r="U21" s="469"/>
      <c r="V21" s="469"/>
      <c r="W21" s="469"/>
      <c r="X21" s="469"/>
      <c r="Y21" s="469"/>
      <c r="Z21" s="469"/>
      <c r="AA21" s="552"/>
      <c r="AB21" s="552"/>
      <c r="AC21" s="552"/>
      <c r="AD21" s="552"/>
      <c r="AE21" s="552"/>
      <c r="AF21" s="668"/>
      <c r="AG21" s="420"/>
      <c r="AH21" s="469"/>
      <c r="AI21" s="469"/>
      <c r="AJ21" s="469"/>
      <c r="AK21" s="469"/>
      <c r="AL21" s="469"/>
      <c r="AM21" s="420"/>
    </row>
    <row r="22" spans="1:39" ht="12">
      <c r="B22" s="669"/>
      <c r="C22" s="669"/>
      <c r="D22" s="669" t="s">
        <v>497</v>
      </c>
      <c r="E22" s="669"/>
      <c r="F22" s="669"/>
      <c r="G22" s="669"/>
      <c r="H22" s="669"/>
      <c r="I22" s="669"/>
      <c r="J22" s="669"/>
      <c r="K22" s="669"/>
      <c r="L22" s="669"/>
      <c r="M22" s="669"/>
      <c r="N22" s="669"/>
      <c r="O22" s="669"/>
      <c r="P22" s="669"/>
      <c r="Q22" s="669"/>
      <c r="R22" s="670">
        <f>SUMIF($C$11:$C$21,$E$1,R11:R21)</f>
        <v>0</v>
      </c>
      <c r="S22" s="671"/>
      <c r="T22" s="672">
        <f t="shared" ref="T22:Z22" si="6">SUMIF($C$11:$C$21,$E$1,T11:T21)</f>
        <v>0</v>
      </c>
      <c r="U22" s="672">
        <f t="shared" si="6"/>
        <v>0</v>
      </c>
      <c r="V22" s="672">
        <f t="shared" si="6"/>
        <v>0</v>
      </c>
      <c r="W22" s="672">
        <f t="shared" si="6"/>
        <v>0</v>
      </c>
      <c r="X22" s="672">
        <f t="shared" si="6"/>
        <v>0</v>
      </c>
      <c r="Y22" s="672">
        <f t="shared" si="6"/>
        <v>0</v>
      </c>
      <c r="Z22" s="672">
        <f t="shared" si="6"/>
        <v>0</v>
      </c>
      <c r="AA22" s="673">
        <f>SUM(AA11:AA21)</f>
        <v>0</v>
      </c>
      <c r="AB22" s="673">
        <f>SUM(AB11:AB21)</f>
        <v>0</v>
      </c>
      <c r="AC22" s="674">
        <f>IFERROR(AB22/AA22,0)</f>
        <v>0</v>
      </c>
      <c r="AD22" s="673">
        <f>SUM(AD11:AD21)</f>
        <v>0</v>
      </c>
      <c r="AE22" s="675"/>
      <c r="AF22" s="675"/>
      <c r="AG22" s="676"/>
      <c r="AH22" s="672">
        <f>SUMIF($C$11:$C$21,$E$1,AH11:AH21)</f>
        <v>0</v>
      </c>
      <c r="AI22" s="672">
        <f>SUMIF($C$11:$C$21,$E$1,AI11:AI21)</f>
        <v>0</v>
      </c>
      <c r="AJ22" s="672">
        <f>SUMIF($C$11:$C$21,$E$1,AJ11:AJ21)</f>
        <v>0</v>
      </c>
      <c r="AK22" s="672">
        <f>SUMIF($C$11:$C$21,$E$1,AK11:AK21)</f>
        <v>0</v>
      </c>
      <c r="AL22" s="672">
        <f>SUMIF($C$11:$C$21,$E$1,AL11:AL21)</f>
        <v>0</v>
      </c>
      <c r="AM22" s="676"/>
    </row>
    <row r="23" spans="1:39" ht="12">
      <c r="E23" s="677"/>
      <c r="F23" s="677"/>
    </row>
    <row r="24" spans="1:39" ht="12">
      <c r="G24" s="679"/>
      <c r="H24" s="679"/>
      <c r="I24" s="679"/>
      <c r="J24" s="679"/>
      <c r="K24" s="679"/>
      <c r="L24" s="679"/>
      <c r="M24" s="679"/>
    </row>
    <row r="26" spans="1:39" s="680" customFormat="1">
      <c r="O26" s="681"/>
      <c r="P26" s="681"/>
      <c r="Q26" s="681"/>
    </row>
    <row r="27" spans="1:39" s="212" customFormat="1" ht="12.75">
      <c r="D27" s="677" t="s">
        <v>9</v>
      </c>
    </row>
    <row r="28" spans="1:39" s="212" customFormat="1" ht="12.75">
      <c r="D28" s="679" t="s">
        <v>712</v>
      </c>
    </row>
    <row r="29" spans="1:39" s="212" customFormat="1" ht="12.75">
      <c r="D29" s="679" t="s">
        <v>2175</v>
      </c>
    </row>
    <row r="30" spans="1:39" s="680" customFormat="1" ht="12">
      <c r="D30" s="679" t="s">
        <v>543</v>
      </c>
      <c r="O30" s="681"/>
      <c r="P30" s="681"/>
      <c r="Q30" s="681"/>
    </row>
    <row r="31" spans="1:39" s="680" customFormat="1" ht="12">
      <c r="D31" s="679" t="s">
        <v>713</v>
      </c>
      <c r="O31" s="681"/>
      <c r="P31" s="681"/>
      <c r="Q31" s="681"/>
    </row>
    <row r="32" spans="1:39" s="680" customFormat="1" ht="12">
      <c r="D32" s="679" t="s">
        <v>545</v>
      </c>
      <c r="O32" s="681"/>
      <c r="P32" s="681"/>
      <c r="Q32" s="681"/>
    </row>
    <row r="33" spans="4:17" s="680" customFormat="1">
      <c r="D33" s="682" t="s">
        <v>714</v>
      </c>
      <c r="O33" s="681"/>
      <c r="P33" s="681"/>
      <c r="Q33" s="681"/>
    </row>
  </sheetData>
  <sheetProtection formatColumns="0" formatRows="0" insertHyperlinks="0"/>
  <mergeCells count="37">
    <mergeCell ref="AH8:AH9"/>
    <mergeCell ref="AI8:AL8"/>
    <mergeCell ref="AG6:AG9"/>
    <mergeCell ref="AH6:AL7"/>
    <mergeCell ref="AM6:AM9"/>
    <mergeCell ref="AA8:AA9"/>
    <mergeCell ref="R6:R9"/>
    <mergeCell ref="S6:S9"/>
    <mergeCell ref="T6:Z6"/>
    <mergeCell ref="AA6:AD7"/>
    <mergeCell ref="T7:T9"/>
    <mergeCell ref="U7:U9"/>
    <mergeCell ref="V7:V9"/>
    <mergeCell ref="W7:Z7"/>
    <mergeCell ref="W8:W9"/>
    <mergeCell ref="X8:Z8"/>
    <mergeCell ref="AE6:AE9"/>
    <mergeCell ref="AF6:AF9"/>
    <mergeCell ref="AB8:AB9"/>
    <mergeCell ref="AC8:AC9"/>
    <mergeCell ref="AD8:AD9"/>
    <mergeCell ref="Q6:Q9"/>
    <mergeCell ref="B4:P4"/>
    <mergeCell ref="B6:B9"/>
    <mergeCell ref="C6:C9"/>
    <mergeCell ref="D6:D9"/>
    <mergeCell ref="E6:E9"/>
    <mergeCell ref="F6:F9"/>
    <mergeCell ref="G6:G9"/>
    <mergeCell ref="H6:H9"/>
    <mergeCell ref="I6:I9"/>
    <mergeCell ref="J6:J9"/>
    <mergeCell ref="K6:L8"/>
    <mergeCell ref="M6:M9"/>
    <mergeCell ref="N6:N9"/>
    <mergeCell ref="O6:O9"/>
    <mergeCell ref="P6:P9"/>
  </mergeCells>
  <conditionalFormatting sqref="T11:T20">
    <cfRule type="expression" dxfId="14" priority="7">
      <formula>AND(AC11&lt;100%,(OR(AE11="",AF11="")))</formula>
    </cfRule>
  </conditionalFormatting>
  <conditionalFormatting sqref="AC11:AC20">
    <cfRule type="expression" dxfId="13" priority="6">
      <formula>AND(AC11&lt;100%,(OR(AE11="",AF11="")))</formula>
    </cfRule>
  </conditionalFormatting>
  <conditionalFormatting sqref="AE11:AE20">
    <cfRule type="expression" dxfId="12" priority="5">
      <formula>AND(AC11&lt;100%,(OR(AE11="",AF11="")))</formula>
    </cfRule>
  </conditionalFormatting>
  <conditionalFormatting sqref="AF11:AF20">
    <cfRule type="expression" dxfId="11" priority="4">
      <formula>AND(AC11&lt;100%,(OR(AE11="",AF11="")))</formula>
    </cfRule>
  </conditionalFormatting>
  <conditionalFormatting sqref="K11:K20">
    <cfRule type="expression" dxfId="10" priority="3">
      <formula>OR(K11="",L11="")</formula>
    </cfRule>
  </conditionalFormatting>
  <conditionalFormatting sqref="L11:L20">
    <cfRule type="expression" dxfId="9" priority="2">
      <formula>OR(K11="",L11="")</formula>
    </cfRule>
  </conditionalFormatting>
  <conditionalFormatting sqref="T11:T20">
    <cfRule type="expression" dxfId="8" priority="1">
      <formula>OR(K11="",L11="")</formula>
    </cfRule>
  </conditionalFormatting>
  <dataValidations count="1">
    <dataValidation type="list" allowBlank="1" showInputMessage="1" showErrorMessage="1" sqref="C11:C20">
      <formula1>$E$1:$E$2</formula1>
    </dataValidation>
  </dataValidations>
  <hyperlinks>
    <hyperlink ref="B1" location="'Перечень форм для заполнения'!A1" display="Вернуться к перечню форм"/>
    <hyperlink ref="C21" location="'12 (аренда ЭСХ-отч пер)'!A1" display="Добавить"/>
  </hyperlinks>
  <pageMargins left="0.70866141732283472" right="0.19685039370078741" top="0.59055118110236227" bottom="0.35433070866141736" header="0.31496062992125984" footer="0.19685039370078741"/>
  <pageSetup paperSize="8" scale="31" fitToHeight="3"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3">
    <tabColor rgb="FF92D050"/>
  </sheetPr>
  <dimension ref="A1:AM34"/>
  <sheetViews>
    <sheetView showGridLines="0" topLeftCell="S1" zoomScale="85" zoomScaleNormal="85" zoomScaleSheetLayoutView="70" workbookViewId="0">
      <selection activeCell="AN17" sqref="AN17"/>
    </sheetView>
  </sheetViews>
  <sheetFormatPr defaultColWidth="9.140625" defaultRowHeight="12.75" outlineLevelCol="1"/>
  <cols>
    <col min="1" max="1" width="3.7109375" style="212" customWidth="1"/>
    <col min="2" max="2" width="4.5703125" style="621" customWidth="1"/>
    <col min="3" max="3" width="27.28515625" style="621" customWidth="1"/>
    <col min="4" max="4" width="23.7109375" style="621" customWidth="1"/>
    <col min="5" max="6" width="20.7109375" style="621" customWidth="1"/>
    <col min="7" max="9" width="17.28515625" style="621" customWidth="1"/>
    <col min="10" max="10" width="33.7109375" style="621" customWidth="1"/>
    <col min="11" max="11" width="18.140625" style="621" customWidth="1"/>
    <col min="12" max="12" width="14.42578125" style="621" customWidth="1"/>
    <col min="13" max="13" width="17.7109375" style="621" customWidth="1"/>
    <col min="14" max="14" width="11.42578125" style="621" customWidth="1"/>
    <col min="15" max="15" width="13.42578125" style="621" customWidth="1"/>
    <col min="16" max="17" width="23.42578125" style="621" customWidth="1"/>
    <col min="18" max="18" width="36.28515625" style="621" customWidth="1"/>
    <col min="19" max="19" width="14.140625" style="621" customWidth="1"/>
    <col min="20" max="21" width="15.42578125" style="621" customWidth="1"/>
    <col min="22" max="29" width="13.7109375" style="621" customWidth="1"/>
    <col min="30" max="30" width="23" style="621" customWidth="1"/>
    <col min="31" max="31" width="23.28515625" style="621" customWidth="1"/>
    <col min="32" max="32" width="25.7109375" style="621" customWidth="1"/>
    <col min="33" max="33" width="15.42578125" style="621" hidden="1" customWidth="1" outlineLevel="1"/>
    <col min="34" max="37" width="14.42578125" style="621" hidden="1" customWidth="1" outlineLevel="1"/>
    <col min="38" max="38" width="15.42578125" style="621" hidden="1" customWidth="1" outlineLevel="1"/>
    <col min="39" max="39" width="9.140625" style="621" collapsed="1"/>
    <col min="40" max="16384" width="9.140625" style="621"/>
  </cols>
  <sheetData>
    <row r="1" spans="1:38">
      <c r="A1" s="210" t="s">
        <v>210</v>
      </c>
      <c r="E1" s="622" t="s">
        <v>681</v>
      </c>
    </row>
    <row r="2" spans="1:38" ht="20.25">
      <c r="D2" s="683"/>
      <c r="E2" s="622" t="s">
        <v>682</v>
      </c>
      <c r="F2" s="683"/>
      <c r="G2" s="683"/>
      <c r="H2" s="683"/>
      <c r="I2" s="683"/>
      <c r="J2" s="683"/>
      <c r="K2" s="683"/>
      <c r="L2" s="683"/>
      <c r="M2" s="683"/>
    </row>
    <row r="3" spans="1:38">
      <c r="N3" s="623"/>
      <c r="O3" s="623"/>
      <c r="P3" s="623"/>
      <c r="Q3" s="623"/>
      <c r="R3" s="623"/>
      <c r="S3" s="623"/>
      <c r="T3" s="623"/>
      <c r="U3" s="623"/>
      <c r="V3" s="623"/>
      <c r="W3" s="623"/>
      <c r="X3" s="623"/>
      <c r="Y3" s="623"/>
      <c r="Z3" s="623"/>
      <c r="AA3" s="623"/>
      <c r="AB3" s="623"/>
      <c r="AC3" s="623"/>
      <c r="AD3" s="623"/>
      <c r="AE3" s="623"/>
      <c r="AF3" s="623"/>
      <c r="AG3" s="623"/>
      <c r="AL3" s="623"/>
    </row>
    <row r="4" spans="1:38" s="637" customFormat="1" ht="51" customHeight="1">
      <c r="A4" s="212"/>
      <c r="B4" s="2370" t="str">
        <f>"Форма для представления сведений по аренде электросетевого имущества на "&amp;'0. Анкета'!C15-1&amp;" и "&amp;'0. Анкета'!C15&amp;" годы"</f>
        <v>Форма для представления сведений по аренде электросетевого имущества на 2023 и 2024 годы</v>
      </c>
      <c r="C4" s="2370"/>
      <c r="D4" s="2370"/>
      <c r="E4" s="2370"/>
      <c r="F4" s="2370"/>
      <c r="G4" s="2370"/>
      <c r="H4" s="2370"/>
      <c r="I4" s="2370"/>
      <c r="J4" s="2370"/>
      <c r="K4" s="2370"/>
      <c r="L4" s="2370"/>
      <c r="M4" s="2370"/>
      <c r="N4" s="2370"/>
      <c r="O4" s="2370"/>
      <c r="P4" s="2370"/>
      <c r="Q4" s="2370"/>
      <c r="R4" s="684"/>
      <c r="S4" s="684"/>
      <c r="T4" s="684"/>
      <c r="U4" s="684"/>
      <c r="V4" s="684"/>
      <c r="W4" s="684"/>
      <c r="X4" s="684"/>
      <c r="Y4" s="684"/>
      <c r="Z4" s="684"/>
      <c r="AA4" s="684"/>
      <c r="AB4" s="684"/>
      <c r="AC4" s="684"/>
      <c r="AD4" s="684"/>
      <c r="AE4" s="684"/>
      <c r="AF4" s="685"/>
      <c r="AG4" s="684"/>
      <c r="AL4" s="684"/>
    </row>
    <row r="5" spans="1:38" s="637" customFormat="1" ht="15.75" customHeight="1">
      <c r="A5" s="212"/>
      <c r="B5" s="638"/>
      <c r="C5" s="638"/>
      <c r="D5" s="638"/>
      <c r="E5" s="638"/>
      <c r="F5" s="638"/>
      <c r="G5" s="638"/>
      <c r="H5" s="638"/>
      <c r="I5" s="638"/>
      <c r="J5" s="638"/>
      <c r="K5" s="638"/>
      <c r="L5" s="638"/>
      <c r="M5" s="638"/>
      <c r="N5" s="639"/>
      <c r="O5" s="638"/>
      <c r="P5" s="640"/>
      <c r="Q5" s="640"/>
      <c r="R5" s="640"/>
      <c r="S5" s="640"/>
      <c r="T5" s="640"/>
      <c r="U5" s="640"/>
      <c r="V5" s="640"/>
      <c r="W5" s="640"/>
      <c r="X5" s="640"/>
      <c r="Y5" s="640"/>
      <c r="Z5" s="640"/>
      <c r="AA5" s="640"/>
      <c r="AB5" s="640"/>
      <c r="AC5" s="640"/>
      <c r="AD5" s="640"/>
      <c r="AE5" s="640"/>
      <c r="AF5" s="640"/>
      <c r="AG5" s="640"/>
      <c r="AL5" s="640"/>
    </row>
    <row r="6" spans="1:38" s="642" customFormat="1" ht="36" customHeight="1">
      <c r="A6" s="212"/>
      <c r="B6" s="2345" t="s">
        <v>12</v>
      </c>
      <c r="C6" s="2345" t="s">
        <v>683</v>
      </c>
      <c r="D6" s="2345" t="s">
        <v>684</v>
      </c>
      <c r="E6" s="2343" t="s">
        <v>555</v>
      </c>
      <c r="F6" s="2343" t="s">
        <v>685</v>
      </c>
      <c r="G6" s="2343" t="s">
        <v>686</v>
      </c>
      <c r="H6" s="2345" t="s">
        <v>687</v>
      </c>
      <c r="I6" s="2345" t="s">
        <v>688</v>
      </c>
      <c r="J6" s="2345" t="s">
        <v>689</v>
      </c>
      <c r="K6" s="2371" t="str">
        <f>"Подтверждение участия объектов в деят-ти по передаче ээ в "&amp;'0. Анкета'!C15-1&amp;" году"</f>
        <v>Подтверждение участия объектов в деят-ти по передаче ээ в 2023 году</v>
      </c>
      <c r="L6" s="2372"/>
      <c r="M6" s="2345" t="s">
        <v>691</v>
      </c>
      <c r="N6" s="2343" t="s">
        <v>692</v>
      </c>
      <c r="O6" s="2343" t="s">
        <v>693</v>
      </c>
      <c r="P6" s="2343" t="s">
        <v>694</v>
      </c>
      <c r="Q6" s="2343" t="s">
        <v>715</v>
      </c>
      <c r="R6" s="2343" t="s">
        <v>696</v>
      </c>
      <c r="S6" s="2343" t="str">
        <f>"Величина арендной платы за владение и (или) пользование имуществом на "&amp;'0. Анкета'!C15-1&amp;" год, утверждено,тыс. руб."</f>
        <v>Величина арендной платы за владение и (или) пользование имуществом на 2023 год, утверждено,тыс. руб.</v>
      </c>
      <c r="T6" s="2355" t="str">
        <f>"Величина арендной платы за владение и (или) пользование имуществом в "&amp;'0. Анкета'!C15&amp;", тыс. руб. (без НДС)"</f>
        <v>Величина арендной платы за владение и (или) пользование имуществом в 2024, тыс. руб. (без НДС)</v>
      </c>
      <c r="U6" s="2355"/>
      <c r="V6" s="2355"/>
      <c r="W6" s="2355"/>
      <c r="X6" s="2355"/>
      <c r="Y6" s="2355"/>
      <c r="Z6" s="2356" t="s">
        <v>716</v>
      </c>
      <c r="AA6" s="2356"/>
      <c r="AB6" s="2356"/>
      <c r="AC6" s="2356"/>
      <c r="AD6" s="2352" t="s">
        <v>717</v>
      </c>
      <c r="AE6" s="2352" t="s">
        <v>718</v>
      </c>
      <c r="AF6" s="2363" t="s">
        <v>507</v>
      </c>
      <c r="AG6" s="2355" t="s">
        <v>2239</v>
      </c>
      <c r="AH6" s="2355"/>
      <c r="AI6" s="2355"/>
      <c r="AJ6" s="2355"/>
      <c r="AK6" s="2355"/>
      <c r="AL6" s="2355"/>
    </row>
    <row r="7" spans="1:38" s="642" customFormat="1" ht="36" customHeight="1">
      <c r="A7" s="212"/>
      <c r="B7" s="2345"/>
      <c r="C7" s="2345"/>
      <c r="D7" s="2345"/>
      <c r="E7" s="2343"/>
      <c r="F7" s="2343"/>
      <c r="G7" s="2343"/>
      <c r="H7" s="2345"/>
      <c r="I7" s="2345"/>
      <c r="J7" s="2345"/>
      <c r="K7" s="2373"/>
      <c r="L7" s="2374"/>
      <c r="M7" s="2345"/>
      <c r="N7" s="2343"/>
      <c r="O7" s="2343"/>
      <c r="P7" s="2343"/>
      <c r="Q7" s="2343"/>
      <c r="R7" s="2343"/>
      <c r="S7" s="2343"/>
      <c r="T7" s="2343" t="str">
        <f>"заявлена в тарифе на "&amp;'0. Анкета'!C15&amp;" год"</f>
        <v>заявлена в тарифе на 2024 год</v>
      </c>
      <c r="U7" s="2343" t="str">
        <f>"сумма по договору за "&amp;'0. Анкета'!C15&amp;" год"</f>
        <v>сумма по договору за 2024 год</v>
      </c>
      <c r="V7" s="2343" t="s">
        <v>719</v>
      </c>
      <c r="W7" s="2343"/>
      <c r="X7" s="2343"/>
      <c r="Y7" s="2343"/>
      <c r="Z7" s="2356"/>
      <c r="AA7" s="2356"/>
      <c r="AB7" s="2356"/>
      <c r="AC7" s="2356"/>
      <c r="AD7" s="2352"/>
      <c r="AE7" s="2352"/>
      <c r="AF7" s="2363"/>
      <c r="AG7" s="2343" t="str">
        <f>"принято в расчет НВВ на "&amp;'0. Анкета'!C15&amp;" год"</f>
        <v>принято в расчет НВВ на 2024 год</v>
      </c>
      <c r="AH7" s="2343" t="s">
        <v>720</v>
      </c>
      <c r="AI7" s="2343"/>
      <c r="AJ7" s="2343"/>
      <c r="AK7" s="2343"/>
      <c r="AL7" s="2343" t="s">
        <v>721</v>
      </c>
    </row>
    <row r="8" spans="1:38" s="642" customFormat="1" ht="13.15" customHeight="1">
      <c r="A8" s="212"/>
      <c r="B8" s="2345"/>
      <c r="C8" s="2345"/>
      <c r="D8" s="2345"/>
      <c r="E8" s="2343"/>
      <c r="F8" s="2343"/>
      <c r="G8" s="2343"/>
      <c r="H8" s="2345"/>
      <c r="I8" s="2345"/>
      <c r="J8" s="2345"/>
      <c r="K8" s="2375"/>
      <c r="L8" s="2376"/>
      <c r="M8" s="2345"/>
      <c r="N8" s="2343"/>
      <c r="O8" s="2343"/>
      <c r="P8" s="2343"/>
      <c r="Q8" s="2343"/>
      <c r="R8" s="2343"/>
      <c r="S8" s="2343"/>
      <c r="T8" s="2343"/>
      <c r="U8" s="2343"/>
      <c r="V8" s="2343" t="s">
        <v>172</v>
      </c>
      <c r="W8" s="2343" t="s">
        <v>701</v>
      </c>
      <c r="X8" s="2343"/>
      <c r="Y8" s="2343"/>
      <c r="Z8" s="2353" t="s">
        <v>172</v>
      </c>
      <c r="AA8" s="2353" t="s">
        <v>702</v>
      </c>
      <c r="AB8" s="2353" t="s">
        <v>703</v>
      </c>
      <c r="AC8" s="2353" t="s">
        <v>704</v>
      </c>
      <c r="AD8" s="2352"/>
      <c r="AE8" s="2352"/>
      <c r="AF8" s="2363"/>
      <c r="AG8" s="2343"/>
      <c r="AH8" s="2343" t="s">
        <v>172</v>
      </c>
      <c r="AI8" s="2343" t="s">
        <v>701</v>
      </c>
      <c r="AJ8" s="2343"/>
      <c r="AK8" s="2343"/>
      <c r="AL8" s="2343"/>
    </row>
    <row r="9" spans="1:38" s="642" customFormat="1" ht="93" customHeight="1">
      <c r="A9" s="212"/>
      <c r="B9" s="2345"/>
      <c r="C9" s="2345"/>
      <c r="D9" s="2345"/>
      <c r="E9" s="2343"/>
      <c r="F9" s="2343"/>
      <c r="G9" s="2343"/>
      <c r="H9" s="2345"/>
      <c r="I9" s="2345"/>
      <c r="J9" s="2345"/>
      <c r="K9" s="686" t="s">
        <v>722</v>
      </c>
      <c r="L9" s="686" t="str">
        <f>"учтено/не учтено в балансовых показателях ээ и мощности на "&amp;'0. Анкета'!C15-1&amp;" год***"</f>
        <v>учтено/не учтено в балансовых показателях ээ и мощности на 2023 год***</v>
      </c>
      <c r="M9" s="2345"/>
      <c r="N9" s="2343"/>
      <c r="O9" s="2343"/>
      <c r="P9" s="2343"/>
      <c r="Q9" s="2343"/>
      <c r="R9" s="2343"/>
      <c r="S9" s="2343"/>
      <c r="T9" s="2343"/>
      <c r="U9" s="2343"/>
      <c r="V9" s="2343"/>
      <c r="W9" s="644" t="s">
        <v>709</v>
      </c>
      <c r="X9" s="644" t="s">
        <v>710</v>
      </c>
      <c r="Y9" s="644" t="s">
        <v>711</v>
      </c>
      <c r="Z9" s="2354"/>
      <c r="AA9" s="2354"/>
      <c r="AB9" s="2354"/>
      <c r="AC9" s="2354"/>
      <c r="AD9" s="2352"/>
      <c r="AE9" s="2352"/>
      <c r="AF9" s="2363"/>
      <c r="AG9" s="2343"/>
      <c r="AH9" s="2343"/>
      <c r="AI9" s="644" t="s">
        <v>709</v>
      </c>
      <c r="AJ9" s="644" t="s">
        <v>710</v>
      </c>
      <c r="AK9" s="644" t="s">
        <v>711</v>
      </c>
      <c r="AL9" s="2343"/>
    </row>
    <row r="10" spans="1:38" s="642" customFormat="1" ht="12" customHeight="1">
      <c r="A10" s="212"/>
      <c r="B10" s="645">
        <v>1</v>
      </c>
      <c r="C10" s="646">
        <f>B10+1</f>
        <v>2</v>
      </c>
      <c r="D10" s="646">
        <f t="shared" ref="D10:AL10" si="0">C10+1</f>
        <v>3</v>
      </c>
      <c r="E10" s="646">
        <f t="shared" si="0"/>
        <v>4</v>
      </c>
      <c r="F10" s="646">
        <f t="shared" si="0"/>
        <v>5</v>
      </c>
      <c r="G10" s="646">
        <f t="shared" si="0"/>
        <v>6</v>
      </c>
      <c r="H10" s="646">
        <f t="shared" si="0"/>
        <v>7</v>
      </c>
      <c r="I10" s="646">
        <f t="shared" si="0"/>
        <v>8</v>
      </c>
      <c r="J10" s="646">
        <f t="shared" si="0"/>
        <v>9</v>
      </c>
      <c r="K10" s="646">
        <f t="shared" si="0"/>
        <v>10</v>
      </c>
      <c r="L10" s="646">
        <f t="shared" si="0"/>
        <v>11</v>
      </c>
      <c r="M10" s="646">
        <f>L10+1</f>
        <v>12</v>
      </c>
      <c r="N10" s="646">
        <f t="shared" si="0"/>
        <v>13</v>
      </c>
      <c r="O10" s="646">
        <f t="shared" si="0"/>
        <v>14</v>
      </c>
      <c r="P10" s="646">
        <f t="shared" si="0"/>
        <v>15</v>
      </c>
      <c r="Q10" s="646">
        <f t="shared" si="0"/>
        <v>16</v>
      </c>
      <c r="R10" s="646">
        <f t="shared" si="0"/>
        <v>17</v>
      </c>
      <c r="S10" s="646">
        <f t="shared" si="0"/>
        <v>18</v>
      </c>
      <c r="T10" s="646">
        <f t="shared" si="0"/>
        <v>19</v>
      </c>
      <c r="U10" s="646">
        <f t="shared" si="0"/>
        <v>20</v>
      </c>
      <c r="V10" s="646">
        <f t="shared" si="0"/>
        <v>21</v>
      </c>
      <c r="W10" s="646">
        <f t="shared" si="0"/>
        <v>22</v>
      </c>
      <c r="X10" s="646">
        <f t="shared" si="0"/>
        <v>23</v>
      </c>
      <c r="Y10" s="646">
        <f t="shared" si="0"/>
        <v>24</v>
      </c>
      <c r="Z10" s="646">
        <f t="shared" si="0"/>
        <v>25</v>
      </c>
      <c r="AA10" s="646">
        <f t="shared" si="0"/>
        <v>26</v>
      </c>
      <c r="AB10" s="646">
        <f t="shared" si="0"/>
        <v>27</v>
      </c>
      <c r="AC10" s="646">
        <f t="shared" si="0"/>
        <v>28</v>
      </c>
      <c r="AD10" s="646">
        <f t="shared" si="0"/>
        <v>29</v>
      </c>
      <c r="AE10" s="646">
        <f t="shared" si="0"/>
        <v>30</v>
      </c>
      <c r="AF10" s="646">
        <f t="shared" si="0"/>
        <v>31</v>
      </c>
      <c r="AG10" s="646">
        <f t="shared" si="0"/>
        <v>32</v>
      </c>
      <c r="AH10" s="646">
        <f t="shared" si="0"/>
        <v>33</v>
      </c>
      <c r="AI10" s="646">
        <f t="shared" si="0"/>
        <v>34</v>
      </c>
      <c r="AJ10" s="646">
        <f t="shared" si="0"/>
        <v>35</v>
      </c>
      <c r="AK10" s="646">
        <f t="shared" si="0"/>
        <v>36</v>
      </c>
      <c r="AL10" s="646">
        <f t="shared" si="0"/>
        <v>37</v>
      </c>
    </row>
    <row r="11" spans="1:38" ht="24">
      <c r="B11" s="648">
        <f>ROW() - ROW(C$10)</f>
        <v>1</v>
      </c>
      <c r="C11" s="687" t="s">
        <v>681</v>
      </c>
      <c r="D11" s="667"/>
      <c r="E11" s="667"/>
      <c r="F11" s="667"/>
      <c r="G11" s="650"/>
      <c r="H11" s="667"/>
      <c r="I11" s="650"/>
      <c r="J11" s="667"/>
      <c r="K11" s="667"/>
      <c r="L11" s="667"/>
      <c r="M11" s="667"/>
      <c r="N11" s="652"/>
      <c r="O11" s="650"/>
      <c r="P11" s="651"/>
      <c r="Q11" s="667"/>
      <c r="R11" s="657"/>
      <c r="S11" s="688"/>
      <c r="T11" s="657"/>
      <c r="U11" s="657"/>
      <c r="V11" s="658">
        <f>SUM(W11:Y11)</f>
        <v>0</v>
      </c>
      <c r="W11" s="689"/>
      <c r="X11" s="689"/>
      <c r="Y11" s="689"/>
      <c r="Z11" s="659">
        <f>SUM(AA11,AC11)</f>
        <v>0</v>
      </c>
      <c r="AA11" s="690"/>
      <c r="AB11" s="661">
        <f t="shared" ref="AB11:AB22" si="1">IFERROR(AA11/Z11,0)</f>
        <v>0</v>
      </c>
      <c r="AC11" s="690"/>
      <c r="AD11" s="691"/>
      <c r="AE11" s="692"/>
      <c r="AF11" s="693"/>
      <c r="AG11" s="657"/>
      <c r="AH11" s="658">
        <f>SUM(AI11:AK11)</f>
        <v>0</v>
      </c>
      <c r="AI11" s="657"/>
      <c r="AJ11" s="657"/>
      <c r="AK11" s="657"/>
      <c r="AL11" s="657"/>
    </row>
    <row r="12" spans="1:38" ht="24">
      <c r="B12" s="648">
        <f t="shared" ref="B12:B20" si="2">ROW() - ROW(C$10)</f>
        <v>2</v>
      </c>
      <c r="C12" s="687" t="s">
        <v>681</v>
      </c>
      <c r="D12" s="667"/>
      <c r="E12" s="667"/>
      <c r="F12" s="667"/>
      <c r="G12" s="650"/>
      <c r="H12" s="667"/>
      <c r="I12" s="650"/>
      <c r="J12" s="667"/>
      <c r="K12" s="667"/>
      <c r="L12" s="667"/>
      <c r="M12" s="667"/>
      <c r="N12" s="652"/>
      <c r="O12" s="650"/>
      <c r="P12" s="651"/>
      <c r="Q12" s="667"/>
      <c r="R12" s="657"/>
      <c r="S12" s="688"/>
      <c r="T12" s="657"/>
      <c r="U12" s="657"/>
      <c r="V12" s="658">
        <f t="shared" ref="V12:V20" si="3">SUM(W12:Y12)</f>
        <v>0</v>
      </c>
      <c r="W12" s="689"/>
      <c r="X12" s="689"/>
      <c r="Y12" s="689"/>
      <c r="Z12" s="659">
        <f t="shared" ref="Z12:Z20" si="4">SUM(AA12,AC12)</f>
        <v>0</v>
      </c>
      <c r="AA12" s="690"/>
      <c r="AB12" s="661">
        <f t="shared" si="1"/>
        <v>0</v>
      </c>
      <c r="AC12" s="690"/>
      <c r="AD12" s="691"/>
      <c r="AE12" s="692"/>
      <c r="AF12" s="693"/>
      <c r="AG12" s="657"/>
      <c r="AH12" s="658">
        <f t="shared" ref="AH12:AH20" si="5">SUM(AI12:AK12)</f>
        <v>0</v>
      </c>
      <c r="AI12" s="657"/>
      <c r="AJ12" s="657"/>
      <c r="AK12" s="657"/>
      <c r="AL12" s="657"/>
    </row>
    <row r="13" spans="1:38" ht="24">
      <c r="B13" s="648">
        <f t="shared" si="2"/>
        <v>3</v>
      </c>
      <c r="C13" s="687" t="s">
        <v>681</v>
      </c>
      <c r="D13" s="667"/>
      <c r="E13" s="667"/>
      <c r="F13" s="667"/>
      <c r="G13" s="650"/>
      <c r="H13" s="667"/>
      <c r="I13" s="650"/>
      <c r="J13" s="667"/>
      <c r="K13" s="667"/>
      <c r="L13" s="667"/>
      <c r="M13" s="667"/>
      <c r="N13" s="652"/>
      <c r="O13" s="650"/>
      <c r="P13" s="651"/>
      <c r="Q13" s="667"/>
      <c r="R13" s="657"/>
      <c r="S13" s="688"/>
      <c r="T13" s="657"/>
      <c r="U13" s="657"/>
      <c r="V13" s="658">
        <f t="shared" si="3"/>
        <v>0</v>
      </c>
      <c r="W13" s="689"/>
      <c r="X13" s="689"/>
      <c r="Y13" s="689"/>
      <c r="Z13" s="659">
        <f t="shared" si="4"/>
        <v>0</v>
      </c>
      <c r="AA13" s="690"/>
      <c r="AB13" s="661">
        <f t="shared" si="1"/>
        <v>0</v>
      </c>
      <c r="AC13" s="690"/>
      <c r="AD13" s="691"/>
      <c r="AE13" s="692"/>
      <c r="AF13" s="693"/>
      <c r="AG13" s="657"/>
      <c r="AH13" s="658">
        <f t="shared" si="5"/>
        <v>0</v>
      </c>
      <c r="AI13" s="657"/>
      <c r="AJ13" s="657"/>
      <c r="AK13" s="657"/>
      <c r="AL13" s="657"/>
    </row>
    <row r="14" spans="1:38" ht="24">
      <c r="B14" s="648">
        <f t="shared" si="2"/>
        <v>4</v>
      </c>
      <c r="C14" s="687" t="s">
        <v>681</v>
      </c>
      <c r="D14" s="667"/>
      <c r="E14" s="667"/>
      <c r="F14" s="667"/>
      <c r="G14" s="650"/>
      <c r="H14" s="667"/>
      <c r="I14" s="650"/>
      <c r="J14" s="667"/>
      <c r="K14" s="667"/>
      <c r="L14" s="667"/>
      <c r="M14" s="667"/>
      <c r="N14" s="652"/>
      <c r="O14" s="650"/>
      <c r="P14" s="651"/>
      <c r="Q14" s="667"/>
      <c r="R14" s="657"/>
      <c r="S14" s="688"/>
      <c r="T14" s="657"/>
      <c r="U14" s="657"/>
      <c r="V14" s="658">
        <f t="shared" si="3"/>
        <v>0</v>
      </c>
      <c r="W14" s="689"/>
      <c r="X14" s="689"/>
      <c r="Y14" s="689"/>
      <c r="Z14" s="659">
        <f t="shared" si="4"/>
        <v>0</v>
      </c>
      <c r="AA14" s="690"/>
      <c r="AB14" s="661">
        <f t="shared" si="1"/>
        <v>0</v>
      </c>
      <c r="AC14" s="690"/>
      <c r="AD14" s="691"/>
      <c r="AE14" s="692"/>
      <c r="AF14" s="693"/>
      <c r="AG14" s="657"/>
      <c r="AH14" s="658">
        <f t="shared" si="5"/>
        <v>0</v>
      </c>
      <c r="AI14" s="657"/>
      <c r="AJ14" s="657"/>
      <c r="AK14" s="657"/>
      <c r="AL14" s="657"/>
    </row>
    <row r="15" spans="1:38" ht="24">
      <c r="B15" s="648">
        <f t="shared" si="2"/>
        <v>5</v>
      </c>
      <c r="C15" s="687" t="s">
        <v>681</v>
      </c>
      <c r="D15" s="667"/>
      <c r="E15" s="667"/>
      <c r="F15" s="667"/>
      <c r="G15" s="650"/>
      <c r="H15" s="667"/>
      <c r="I15" s="650"/>
      <c r="J15" s="667"/>
      <c r="K15" s="667"/>
      <c r="L15" s="667"/>
      <c r="M15" s="667"/>
      <c r="N15" s="652"/>
      <c r="O15" s="650"/>
      <c r="P15" s="651"/>
      <c r="Q15" s="667"/>
      <c r="R15" s="657"/>
      <c r="S15" s="688"/>
      <c r="T15" s="657"/>
      <c r="U15" s="657"/>
      <c r="V15" s="658">
        <f t="shared" si="3"/>
        <v>0</v>
      </c>
      <c r="W15" s="689"/>
      <c r="X15" s="689"/>
      <c r="Y15" s="689"/>
      <c r="Z15" s="659">
        <f t="shared" si="4"/>
        <v>0</v>
      </c>
      <c r="AA15" s="690"/>
      <c r="AB15" s="661">
        <f t="shared" si="1"/>
        <v>0</v>
      </c>
      <c r="AC15" s="690"/>
      <c r="AD15" s="691"/>
      <c r="AE15" s="692"/>
      <c r="AF15" s="693"/>
      <c r="AG15" s="657"/>
      <c r="AH15" s="658">
        <f t="shared" si="5"/>
        <v>0</v>
      </c>
      <c r="AI15" s="657"/>
      <c r="AJ15" s="657"/>
      <c r="AK15" s="657"/>
      <c r="AL15" s="657"/>
    </row>
    <row r="16" spans="1:38" ht="24">
      <c r="B16" s="648">
        <f t="shared" si="2"/>
        <v>6</v>
      </c>
      <c r="C16" s="687" t="s">
        <v>681</v>
      </c>
      <c r="D16" s="667"/>
      <c r="E16" s="667"/>
      <c r="F16" s="667"/>
      <c r="G16" s="650"/>
      <c r="H16" s="667"/>
      <c r="I16" s="650"/>
      <c r="J16" s="667"/>
      <c r="K16" s="667"/>
      <c r="L16" s="667"/>
      <c r="M16" s="667"/>
      <c r="N16" s="652"/>
      <c r="O16" s="650"/>
      <c r="P16" s="651"/>
      <c r="Q16" s="667"/>
      <c r="R16" s="657"/>
      <c r="S16" s="688"/>
      <c r="T16" s="657"/>
      <c r="U16" s="657"/>
      <c r="V16" s="658">
        <f t="shared" si="3"/>
        <v>0</v>
      </c>
      <c r="W16" s="689"/>
      <c r="X16" s="689"/>
      <c r="Y16" s="689"/>
      <c r="Z16" s="659">
        <f t="shared" si="4"/>
        <v>0</v>
      </c>
      <c r="AA16" s="690"/>
      <c r="AB16" s="661">
        <f t="shared" si="1"/>
        <v>0</v>
      </c>
      <c r="AC16" s="690"/>
      <c r="AD16" s="691"/>
      <c r="AE16" s="692"/>
      <c r="AF16" s="693"/>
      <c r="AG16" s="657"/>
      <c r="AH16" s="658">
        <f t="shared" si="5"/>
        <v>0</v>
      </c>
      <c r="AI16" s="657"/>
      <c r="AJ16" s="657"/>
      <c r="AK16" s="657"/>
      <c r="AL16" s="657"/>
    </row>
    <row r="17" spans="1:38" ht="24">
      <c r="B17" s="648">
        <f t="shared" si="2"/>
        <v>7</v>
      </c>
      <c r="C17" s="687" t="s">
        <v>681</v>
      </c>
      <c r="D17" s="667"/>
      <c r="E17" s="667"/>
      <c r="F17" s="667"/>
      <c r="G17" s="650"/>
      <c r="H17" s="667"/>
      <c r="I17" s="650"/>
      <c r="J17" s="667"/>
      <c r="K17" s="667"/>
      <c r="L17" s="667"/>
      <c r="M17" s="667"/>
      <c r="N17" s="652"/>
      <c r="O17" s="650"/>
      <c r="P17" s="651"/>
      <c r="Q17" s="667"/>
      <c r="R17" s="657"/>
      <c r="S17" s="688"/>
      <c r="T17" s="657"/>
      <c r="U17" s="657"/>
      <c r="V17" s="658">
        <f t="shared" si="3"/>
        <v>0</v>
      </c>
      <c r="W17" s="689"/>
      <c r="X17" s="689"/>
      <c r="Y17" s="689"/>
      <c r="Z17" s="659">
        <f t="shared" si="4"/>
        <v>0</v>
      </c>
      <c r="AA17" s="690"/>
      <c r="AB17" s="661">
        <f t="shared" si="1"/>
        <v>0</v>
      </c>
      <c r="AC17" s="690"/>
      <c r="AD17" s="691"/>
      <c r="AE17" s="692"/>
      <c r="AF17" s="693"/>
      <c r="AG17" s="657"/>
      <c r="AH17" s="658">
        <f t="shared" si="5"/>
        <v>0</v>
      </c>
      <c r="AI17" s="657"/>
      <c r="AJ17" s="657"/>
      <c r="AK17" s="657"/>
      <c r="AL17" s="657"/>
    </row>
    <row r="18" spans="1:38" ht="24">
      <c r="B18" s="648">
        <f t="shared" si="2"/>
        <v>8</v>
      </c>
      <c r="C18" s="687" t="s">
        <v>681</v>
      </c>
      <c r="D18" s="667"/>
      <c r="E18" s="667"/>
      <c r="F18" s="667"/>
      <c r="G18" s="650"/>
      <c r="H18" s="667"/>
      <c r="I18" s="650"/>
      <c r="J18" s="667"/>
      <c r="K18" s="667"/>
      <c r="L18" s="667"/>
      <c r="M18" s="667"/>
      <c r="N18" s="652"/>
      <c r="O18" s="650"/>
      <c r="P18" s="651"/>
      <c r="Q18" s="667"/>
      <c r="R18" s="657"/>
      <c r="S18" s="688"/>
      <c r="T18" s="657"/>
      <c r="U18" s="657"/>
      <c r="V18" s="658">
        <f t="shared" si="3"/>
        <v>0</v>
      </c>
      <c r="W18" s="689"/>
      <c r="X18" s="689"/>
      <c r="Y18" s="689"/>
      <c r="Z18" s="659">
        <f t="shared" si="4"/>
        <v>0</v>
      </c>
      <c r="AA18" s="690"/>
      <c r="AB18" s="661">
        <f t="shared" si="1"/>
        <v>0</v>
      </c>
      <c r="AC18" s="690"/>
      <c r="AD18" s="691"/>
      <c r="AE18" s="692"/>
      <c r="AF18" s="693"/>
      <c r="AG18" s="657"/>
      <c r="AH18" s="658">
        <f t="shared" si="5"/>
        <v>0</v>
      </c>
      <c r="AI18" s="657"/>
      <c r="AJ18" s="657"/>
      <c r="AK18" s="657"/>
      <c r="AL18" s="657"/>
    </row>
    <row r="19" spans="1:38" ht="24">
      <c r="B19" s="648">
        <f t="shared" si="2"/>
        <v>9</v>
      </c>
      <c r="C19" s="687" t="s">
        <v>681</v>
      </c>
      <c r="D19" s="667"/>
      <c r="E19" s="667"/>
      <c r="F19" s="667"/>
      <c r="G19" s="650"/>
      <c r="H19" s="667"/>
      <c r="I19" s="650"/>
      <c r="J19" s="667"/>
      <c r="K19" s="667"/>
      <c r="L19" s="667"/>
      <c r="M19" s="667"/>
      <c r="N19" s="652"/>
      <c r="O19" s="650"/>
      <c r="P19" s="651"/>
      <c r="Q19" s="667"/>
      <c r="R19" s="657"/>
      <c r="S19" s="688"/>
      <c r="T19" s="657"/>
      <c r="U19" s="657"/>
      <c r="V19" s="658">
        <f t="shared" si="3"/>
        <v>0</v>
      </c>
      <c r="W19" s="689"/>
      <c r="X19" s="689"/>
      <c r="Y19" s="689"/>
      <c r="Z19" s="659">
        <f t="shared" si="4"/>
        <v>0</v>
      </c>
      <c r="AA19" s="690"/>
      <c r="AB19" s="661">
        <f t="shared" si="1"/>
        <v>0</v>
      </c>
      <c r="AC19" s="690"/>
      <c r="AD19" s="691"/>
      <c r="AE19" s="692"/>
      <c r="AF19" s="693"/>
      <c r="AG19" s="657"/>
      <c r="AH19" s="658">
        <f t="shared" si="5"/>
        <v>0</v>
      </c>
      <c r="AI19" s="657"/>
      <c r="AJ19" s="657"/>
      <c r="AK19" s="657"/>
      <c r="AL19" s="657"/>
    </row>
    <row r="20" spans="1:38" ht="24">
      <c r="B20" s="648">
        <f t="shared" si="2"/>
        <v>10</v>
      </c>
      <c r="C20" s="687" t="s">
        <v>681</v>
      </c>
      <c r="D20" s="667"/>
      <c r="E20" s="667"/>
      <c r="F20" s="667"/>
      <c r="G20" s="650"/>
      <c r="H20" s="667"/>
      <c r="I20" s="650"/>
      <c r="J20" s="667"/>
      <c r="K20" s="667"/>
      <c r="L20" s="667"/>
      <c r="M20" s="667"/>
      <c r="N20" s="652"/>
      <c r="O20" s="650"/>
      <c r="P20" s="651"/>
      <c r="Q20" s="667"/>
      <c r="R20" s="657"/>
      <c r="S20" s="688"/>
      <c r="T20" s="657"/>
      <c r="U20" s="657"/>
      <c r="V20" s="658">
        <f t="shared" si="3"/>
        <v>0</v>
      </c>
      <c r="W20" s="689"/>
      <c r="X20" s="689"/>
      <c r="Y20" s="689"/>
      <c r="Z20" s="659">
        <f t="shared" si="4"/>
        <v>0</v>
      </c>
      <c r="AA20" s="690"/>
      <c r="AB20" s="661">
        <f t="shared" si="1"/>
        <v>0</v>
      </c>
      <c r="AC20" s="690"/>
      <c r="AD20" s="691"/>
      <c r="AE20" s="692"/>
      <c r="AF20" s="693"/>
      <c r="AG20" s="657"/>
      <c r="AH20" s="658">
        <f t="shared" si="5"/>
        <v>0</v>
      </c>
      <c r="AI20" s="657"/>
      <c r="AJ20" s="657"/>
      <c r="AK20" s="657"/>
      <c r="AL20" s="657"/>
    </row>
    <row r="21" spans="1:38" ht="14.25">
      <c r="A21" s="621"/>
      <c r="B21" s="552"/>
      <c r="C21" s="473" t="s">
        <v>7</v>
      </c>
      <c r="D21" s="552"/>
      <c r="E21" s="552"/>
      <c r="F21" s="427"/>
      <c r="G21" s="427"/>
      <c r="H21" s="427"/>
      <c r="I21" s="427"/>
      <c r="J21" s="427"/>
      <c r="K21" s="427"/>
      <c r="L21" s="427"/>
      <c r="M21" s="427"/>
      <c r="N21" s="427"/>
      <c r="O21" s="427"/>
      <c r="P21" s="427"/>
      <c r="Q21" s="427"/>
      <c r="R21" s="469"/>
      <c r="S21" s="469"/>
      <c r="T21" s="469"/>
      <c r="U21" s="469"/>
      <c r="V21" s="469"/>
      <c r="W21" s="469"/>
      <c r="X21" s="469"/>
      <c r="Y21" s="469"/>
      <c r="Z21" s="552"/>
      <c r="AA21" s="552"/>
      <c r="AB21" s="694"/>
      <c r="AC21" s="552"/>
      <c r="AD21" s="668"/>
      <c r="AE21" s="668"/>
      <c r="AF21" s="695"/>
      <c r="AG21" s="469"/>
      <c r="AH21" s="469"/>
      <c r="AI21" s="469"/>
      <c r="AJ21" s="469"/>
      <c r="AK21" s="469"/>
      <c r="AL21" s="469"/>
    </row>
    <row r="22" spans="1:38">
      <c r="B22" s="503"/>
      <c r="C22" s="669" t="s">
        <v>497</v>
      </c>
      <c r="D22" s="503"/>
      <c r="E22" s="503"/>
      <c r="F22" s="503"/>
      <c r="G22" s="503"/>
      <c r="H22" s="503"/>
      <c r="I22" s="503"/>
      <c r="J22" s="503"/>
      <c r="K22" s="503"/>
      <c r="L22" s="503"/>
      <c r="M22" s="503"/>
      <c r="N22" s="503"/>
      <c r="O22" s="503"/>
      <c r="P22" s="503"/>
      <c r="Q22" s="503"/>
      <c r="R22" s="672">
        <f>SUMIF($C$11:$C$21,$E$1,R11:R21)</f>
        <v>0</v>
      </c>
      <c r="S22" s="696"/>
      <c r="T22" s="672">
        <f t="shared" ref="T22:Y22" si="6">SUMIF($C$11:$C$21,$E$1,T11:T21)</f>
        <v>0</v>
      </c>
      <c r="U22" s="672">
        <f t="shared" si="6"/>
        <v>0</v>
      </c>
      <c r="V22" s="672">
        <f t="shared" si="6"/>
        <v>0</v>
      </c>
      <c r="W22" s="672">
        <f t="shared" si="6"/>
        <v>0</v>
      </c>
      <c r="X22" s="672">
        <f t="shared" si="6"/>
        <v>0</v>
      </c>
      <c r="Y22" s="672">
        <f t="shared" si="6"/>
        <v>0</v>
      </c>
      <c r="Z22" s="673">
        <f>SUM(Z11:Z21)</f>
        <v>0</v>
      </c>
      <c r="AA22" s="673">
        <f>SUM(AA11:AA21)</f>
        <v>0</v>
      </c>
      <c r="AB22" s="697">
        <f t="shared" si="1"/>
        <v>0</v>
      </c>
      <c r="AC22" s="673">
        <f>SUM(AC11:AC21)</f>
        <v>0</v>
      </c>
      <c r="AD22" s="675"/>
      <c r="AE22" s="675"/>
      <c r="AF22" s="501"/>
      <c r="AG22" s="672">
        <f>SUMIF($C$11:$C$21,$E$1,AG11:AG21)</f>
        <v>0</v>
      </c>
      <c r="AH22" s="672">
        <f>SUMIF($C$11:$C$21,$E$1,AH11:AH21)</f>
        <v>0</v>
      </c>
      <c r="AI22" s="672">
        <f>SUMIF($C$11:$C$21,$E$1,AI11:AI21)</f>
        <v>0</v>
      </c>
      <c r="AJ22" s="672">
        <f>SUMIF($C$11:$C$21,$E$1,AJ11:AJ21)</f>
        <v>0</v>
      </c>
      <c r="AK22" s="672">
        <f>SUMIF($C$11:$C$21,$E$1,AK11:AK21)</f>
        <v>0</v>
      </c>
      <c r="AL22" s="698"/>
    </row>
    <row r="23" spans="1:38">
      <c r="B23" s="699"/>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L23" s="699"/>
    </row>
    <row r="24" spans="1:38">
      <c r="B24" s="699"/>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L24" s="699"/>
    </row>
    <row r="25" spans="1:38">
      <c r="D25" s="677" t="s">
        <v>9</v>
      </c>
      <c r="E25" s="677"/>
      <c r="F25" s="677"/>
      <c r="G25" s="677"/>
      <c r="H25" s="677"/>
      <c r="I25" s="677"/>
      <c r="J25" s="677"/>
      <c r="K25" s="677"/>
      <c r="L25" s="677"/>
      <c r="M25" s="677"/>
    </row>
    <row r="26" spans="1:38">
      <c r="D26" s="679" t="s">
        <v>723</v>
      </c>
      <c r="E26" s="679"/>
      <c r="F26" s="679"/>
      <c r="G26" s="679"/>
      <c r="H26" s="679"/>
      <c r="I26" s="679"/>
      <c r="J26" s="679"/>
      <c r="K26" s="679"/>
      <c r="L26" s="679"/>
      <c r="M26" s="679"/>
    </row>
    <row r="27" spans="1:38">
      <c r="D27" s="679" t="s">
        <v>724</v>
      </c>
      <c r="E27" s="679"/>
      <c r="F27" s="679"/>
      <c r="G27" s="679"/>
      <c r="H27" s="679"/>
      <c r="I27" s="679"/>
      <c r="J27" s="679"/>
      <c r="K27" s="679"/>
      <c r="L27" s="679"/>
      <c r="M27" s="679"/>
    </row>
    <row r="28" spans="1:38">
      <c r="D28" s="700" t="s">
        <v>2177</v>
      </c>
      <c r="E28" s="679"/>
      <c r="F28" s="679"/>
      <c r="G28" s="679"/>
      <c r="H28" s="679"/>
      <c r="I28" s="679"/>
      <c r="J28" s="679"/>
      <c r="K28" s="679"/>
      <c r="L28" s="679"/>
      <c r="M28" s="679"/>
    </row>
    <row r="29" spans="1:38">
      <c r="D29" s="700" t="s">
        <v>725</v>
      </c>
      <c r="E29" s="679"/>
      <c r="F29" s="679"/>
      <c r="G29" s="679"/>
      <c r="H29" s="679"/>
      <c r="I29" s="679"/>
      <c r="J29" s="679"/>
      <c r="K29" s="679"/>
      <c r="L29" s="679"/>
      <c r="M29" s="679"/>
    </row>
    <row r="30" spans="1:38">
      <c r="D30" s="700" t="s">
        <v>726</v>
      </c>
      <c r="E30" s="679"/>
      <c r="F30" s="679"/>
      <c r="G30" s="679"/>
      <c r="H30" s="679"/>
      <c r="I30" s="679"/>
      <c r="J30" s="679"/>
      <c r="K30" s="679"/>
      <c r="L30" s="679"/>
      <c r="M30" s="679"/>
    </row>
    <row r="31" spans="1:38" ht="20.25">
      <c r="D31" s="701" t="s">
        <v>727</v>
      </c>
      <c r="E31" s="702"/>
      <c r="F31" s="702"/>
      <c r="G31" s="702"/>
      <c r="H31" s="702"/>
      <c r="I31" s="702"/>
      <c r="J31" s="702"/>
      <c r="K31" s="702"/>
      <c r="L31" s="702"/>
      <c r="M31" s="702"/>
    </row>
    <row r="32" spans="1:38" ht="18.75">
      <c r="C32" s="622" t="s">
        <v>728</v>
      </c>
      <c r="D32" s="2377"/>
      <c r="E32" s="2377"/>
      <c r="F32" s="2377"/>
      <c r="G32" s="2377"/>
      <c r="H32" s="2377"/>
      <c r="I32" s="2377"/>
      <c r="J32" s="2377"/>
      <c r="K32" s="2377"/>
      <c r="L32" s="2377"/>
      <c r="M32" s="2377"/>
      <c r="P32" s="703"/>
      <c r="Q32" s="703"/>
    </row>
    <row r="33" spans="3:17" ht="18.75">
      <c r="C33" s="622" t="s">
        <v>729</v>
      </c>
      <c r="D33" s="704"/>
      <c r="E33" s="704"/>
      <c r="F33" s="704"/>
      <c r="G33" s="704"/>
      <c r="H33" s="704"/>
      <c r="I33" s="704"/>
      <c r="J33" s="704"/>
      <c r="K33" s="704"/>
      <c r="L33" s="704"/>
      <c r="M33" s="704"/>
    </row>
    <row r="34" spans="3:17" ht="18.75">
      <c r="D34" s="2378"/>
      <c r="E34" s="2378"/>
      <c r="F34" s="2378"/>
      <c r="G34" s="2378"/>
      <c r="H34" s="2378"/>
      <c r="I34" s="2378"/>
      <c r="J34" s="2378"/>
      <c r="K34" s="2378"/>
      <c r="L34" s="2378"/>
      <c r="M34" s="2378"/>
      <c r="P34" s="703"/>
      <c r="Q34" s="703"/>
    </row>
  </sheetData>
  <sheetProtection formatColumns="0" formatRows="0" insertHyperlinks="0"/>
  <mergeCells count="40">
    <mergeCell ref="AH8:AH9"/>
    <mergeCell ref="AI8:AK8"/>
    <mergeCell ref="D32:M32"/>
    <mergeCell ref="D34:M34"/>
    <mergeCell ref="AF6:AF9"/>
    <mergeCell ref="AG6:AL6"/>
    <mergeCell ref="T7:T9"/>
    <mergeCell ref="U7:U9"/>
    <mergeCell ref="V7:Y7"/>
    <mergeCell ref="AG7:AG9"/>
    <mergeCell ref="AH7:AK7"/>
    <mergeCell ref="AL7:AL9"/>
    <mergeCell ref="V8:V9"/>
    <mergeCell ref="W8:Y8"/>
    <mergeCell ref="R6:R9"/>
    <mergeCell ref="S6:S9"/>
    <mergeCell ref="T6:Y6"/>
    <mergeCell ref="Z6:AC7"/>
    <mergeCell ref="AD6:AD9"/>
    <mergeCell ref="AE6:AE9"/>
    <mergeCell ref="Z8:Z9"/>
    <mergeCell ref="AA8:AA9"/>
    <mergeCell ref="AB8:AB9"/>
    <mergeCell ref="AC8:AC9"/>
    <mergeCell ref="Q6:Q9"/>
    <mergeCell ref="B4:Q4"/>
    <mergeCell ref="B6:B9"/>
    <mergeCell ref="C6:C9"/>
    <mergeCell ref="D6:D9"/>
    <mergeCell ref="E6:E9"/>
    <mergeCell ref="F6:F9"/>
    <mergeCell ref="G6:G9"/>
    <mergeCell ref="H6:H9"/>
    <mergeCell ref="I6:I9"/>
    <mergeCell ref="J6:J9"/>
    <mergeCell ref="K6:L8"/>
    <mergeCell ref="M6:M9"/>
    <mergeCell ref="N6:N9"/>
    <mergeCell ref="O6:O9"/>
    <mergeCell ref="P6:P9"/>
  </mergeCells>
  <conditionalFormatting sqref="T11:T20">
    <cfRule type="expression" dxfId="7" priority="7">
      <formula>AND(AB11&lt;100%,(OR(AD11="",AE11="")))</formula>
    </cfRule>
  </conditionalFormatting>
  <conditionalFormatting sqref="AB11:AB20">
    <cfRule type="expression" dxfId="6" priority="6">
      <formula>AND(AB11&lt;100%,(OR(AD11="",AE11="")))</formula>
    </cfRule>
  </conditionalFormatting>
  <conditionalFormatting sqref="AD11:AD20">
    <cfRule type="expression" dxfId="5" priority="5">
      <formula>AND(AB11&lt;100%,(OR(AD11="",AE11="")))</formula>
    </cfRule>
  </conditionalFormatting>
  <conditionalFormatting sqref="AE11:AE20">
    <cfRule type="expression" dxfId="4" priority="4">
      <formula>AND(AB11&lt;100%,(OR(AD11="",AE11="")))</formula>
    </cfRule>
  </conditionalFormatting>
  <conditionalFormatting sqref="K11:K20">
    <cfRule type="expression" dxfId="3" priority="3">
      <formula>OR(K11="",L11="")</formula>
    </cfRule>
  </conditionalFormatting>
  <conditionalFormatting sqref="L11:L20">
    <cfRule type="expression" dxfId="2" priority="2">
      <formula>OR(K11="",L11="")</formula>
    </cfRule>
  </conditionalFormatting>
  <conditionalFormatting sqref="T11">
    <cfRule type="expression" dxfId="1" priority="1">
      <formula>OR(K11="",L11="")</formula>
    </cfRule>
  </conditionalFormatting>
  <dataValidations count="2">
    <dataValidation type="list" allowBlank="1" showInputMessage="1" showErrorMessage="1" sqref="L11:L20">
      <formula1>$C$32:$C$33</formula1>
    </dataValidation>
    <dataValidation type="list" allowBlank="1" showInputMessage="1" showErrorMessage="1" sqref="C11:C20">
      <formula1>$E$1:$E$2</formula1>
    </dataValidation>
  </dataValidations>
  <hyperlinks>
    <hyperlink ref="A1" location="'Перечень форм для заполнения'!A1" display="Вернуться к перечню форм"/>
    <hyperlink ref="C21" location="'13 (аренда ЭСХ-план) '!A1" display="Добавить"/>
  </hyperlinks>
  <pageMargins left="0.70866141732283472" right="0.19685039370078741" top="0.74803149606299213" bottom="0.35433070866141736" header="0.31496062992125984" footer="0.31496062992125984"/>
  <pageSetup paperSize="8" scale="36" fitToHeight="13"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92D050"/>
    <pageSetUpPr fitToPage="1"/>
  </sheetPr>
  <dimension ref="A1:Z28"/>
  <sheetViews>
    <sheetView showGridLines="0" topLeftCell="J4" zoomScale="85" zoomScaleNormal="85" zoomScaleSheetLayoutView="70" workbookViewId="0">
      <selection activeCell="AB11" sqref="AB11"/>
    </sheetView>
  </sheetViews>
  <sheetFormatPr defaultColWidth="9.140625" defaultRowHeight="11.25" outlineLevelCol="1"/>
  <cols>
    <col min="1" max="1" width="3.7109375" style="621" customWidth="1"/>
    <col min="2" max="2" width="4.5703125" style="621" customWidth="1"/>
    <col min="3" max="3" width="27.28515625" style="621" customWidth="1"/>
    <col min="4" max="4" width="30.85546875" style="705" customWidth="1"/>
    <col min="5" max="5" width="30.85546875" style="621" customWidth="1"/>
    <col min="6" max="7" width="15" style="621" customWidth="1"/>
    <col min="8" max="8" width="11.7109375" style="621" customWidth="1"/>
    <col min="9" max="9" width="17.42578125" style="621" bestFit="1" customWidth="1"/>
    <col min="10" max="10" width="16.42578125" style="621" customWidth="1"/>
    <col min="11" max="11" width="13.85546875" style="621" customWidth="1"/>
    <col min="12" max="12" width="15.42578125" style="621" customWidth="1"/>
    <col min="13" max="13" width="14.7109375" style="621" customWidth="1"/>
    <col min="14" max="14" width="14.140625" style="621" customWidth="1"/>
    <col min="15" max="15" width="15.5703125" style="621" customWidth="1"/>
    <col min="16" max="16" width="11" style="621" customWidth="1"/>
    <col min="17" max="17" width="10.140625" style="621" customWidth="1"/>
    <col min="18" max="18" width="16.7109375" style="621" customWidth="1"/>
    <col min="19" max="19" width="16" style="621" customWidth="1"/>
    <col min="20" max="20" width="17.5703125" style="621" customWidth="1"/>
    <col min="21" max="21" width="22.5703125" style="621" customWidth="1"/>
    <col min="22" max="22" width="22.85546875" style="621" customWidth="1"/>
    <col min="23" max="23" width="22.7109375" style="621" customWidth="1"/>
    <col min="24" max="25" width="22.85546875" style="621" hidden="1" customWidth="1" outlineLevel="1"/>
    <col min="26" max="26" width="14.42578125" style="621" customWidth="1" collapsed="1"/>
    <col min="27" max="31" width="14.42578125" style="621" customWidth="1"/>
    <col min="32" max="16384" width="9.140625" style="621"/>
  </cols>
  <sheetData>
    <row r="1" spans="1:25" ht="12.75">
      <c r="A1" s="2379" t="s">
        <v>210</v>
      </c>
      <c r="B1" s="2379"/>
      <c r="C1" s="2379"/>
      <c r="G1" s="622" t="s">
        <v>681</v>
      </c>
    </row>
    <row r="2" spans="1:25" ht="15.75" customHeight="1">
      <c r="D2" s="706"/>
      <c r="E2" s="707"/>
      <c r="F2" s="707"/>
      <c r="G2" s="622" t="s">
        <v>682</v>
      </c>
      <c r="N2" s="623"/>
      <c r="O2" s="623"/>
      <c r="P2" s="623"/>
      <c r="Q2" s="623"/>
      <c r="R2" s="623"/>
      <c r="S2" s="623"/>
      <c r="T2" s="623"/>
      <c r="U2" s="623"/>
      <c r="V2" s="623"/>
      <c r="W2" s="623"/>
      <c r="X2" s="623"/>
      <c r="Y2" s="623"/>
    </row>
    <row r="4" spans="1:25" ht="18" customHeight="1">
      <c r="B4" s="2344" t="str">
        <f>"Форма для представления сведений по лизингу электросетевого имущества за "&amp;'0. Анкета'!C15-2&amp;" год"</f>
        <v>Форма для представления сведений по лизингу электросетевого имущества за 2022 год</v>
      </c>
      <c r="C4" s="2344"/>
      <c r="D4" s="2344"/>
      <c r="E4" s="2344"/>
      <c r="F4" s="2344"/>
      <c r="G4" s="2344"/>
      <c r="H4" s="2344"/>
      <c r="I4" s="2344"/>
      <c r="J4" s="2344"/>
      <c r="K4" s="2344"/>
      <c r="L4" s="2344"/>
      <c r="M4" s="2344"/>
      <c r="N4" s="2344"/>
      <c r="O4" s="2344"/>
      <c r="P4" s="2344"/>
      <c r="Q4" s="2344"/>
      <c r="R4" s="2344"/>
      <c r="S4" s="2344"/>
      <c r="T4" s="2344"/>
      <c r="U4" s="2344"/>
      <c r="V4" s="2344"/>
      <c r="W4" s="708"/>
      <c r="X4" s="708"/>
      <c r="Y4" s="708"/>
    </row>
    <row r="5" spans="1:25" ht="12">
      <c r="B5" s="638"/>
      <c r="C5" s="638"/>
      <c r="D5" s="709"/>
      <c r="E5" s="638"/>
      <c r="F5" s="638"/>
      <c r="G5" s="638"/>
      <c r="H5" s="638"/>
      <c r="I5" s="638"/>
      <c r="J5" s="638"/>
      <c r="K5" s="638"/>
      <c r="L5" s="638"/>
      <c r="M5" s="638"/>
      <c r="N5" s="639"/>
      <c r="O5" s="638"/>
      <c r="P5" s="640"/>
      <c r="Q5" s="640"/>
      <c r="R5" s="640"/>
      <c r="S5" s="640"/>
      <c r="T5" s="640"/>
      <c r="U5" s="640"/>
      <c r="V5" s="640"/>
      <c r="W5" s="637"/>
      <c r="X5" s="640"/>
      <c r="Y5" s="640"/>
    </row>
    <row r="6" spans="1:25" ht="29.45" customHeight="1">
      <c r="B6" s="2380" t="s">
        <v>12</v>
      </c>
      <c r="C6" s="2380" t="s">
        <v>683</v>
      </c>
      <c r="D6" s="2383" t="s">
        <v>684</v>
      </c>
      <c r="E6" s="2380" t="s">
        <v>730</v>
      </c>
      <c r="F6" s="2343" t="s">
        <v>731</v>
      </c>
      <c r="G6" s="2357" t="s">
        <v>732</v>
      </c>
      <c r="H6" s="2357" t="s">
        <v>686</v>
      </c>
      <c r="I6" s="2380" t="s">
        <v>687</v>
      </c>
      <c r="J6" s="2380" t="s">
        <v>688</v>
      </c>
      <c r="K6" s="2380" t="s">
        <v>689</v>
      </c>
      <c r="L6" s="2380" t="s">
        <v>733</v>
      </c>
      <c r="M6" s="2380" t="s">
        <v>691</v>
      </c>
      <c r="N6" s="2343" t="s">
        <v>692</v>
      </c>
      <c r="O6" s="2343" t="s">
        <v>693</v>
      </c>
      <c r="P6" s="2343" t="s">
        <v>734</v>
      </c>
      <c r="Q6" s="2343" t="s">
        <v>735</v>
      </c>
      <c r="R6" s="2343" t="s">
        <v>736</v>
      </c>
      <c r="S6" s="2343" t="str">
        <f>"Лизинг электросетевого имущества на "&amp;'0. Анкета'!C15-2&amp;" год, утверждено, тыс. руб."</f>
        <v>Лизинг электросетевого имущества на 2022 год, утверждено, тыс. руб.</v>
      </c>
      <c r="T6" s="2343" t="str">
        <f>"Сумма лизинговых платежей за "&amp;'0. Анкета'!C15-2&amp;" год,  тыс. руб. (без НДС)"</f>
        <v>Сумма лизинговых платежей за 2022 год,  тыс. руб. (без НДС)</v>
      </c>
      <c r="U6" s="2343"/>
      <c r="V6" s="2343"/>
      <c r="W6" s="2386" t="s">
        <v>737</v>
      </c>
      <c r="X6" s="2386" t="s">
        <v>2219</v>
      </c>
      <c r="Y6" s="2386" t="s">
        <v>2220</v>
      </c>
    </row>
    <row r="7" spans="1:25" ht="42.6" customHeight="1">
      <c r="B7" s="2381"/>
      <c r="C7" s="2381"/>
      <c r="D7" s="2384"/>
      <c r="E7" s="2381"/>
      <c r="F7" s="2343"/>
      <c r="G7" s="2358"/>
      <c r="H7" s="2358"/>
      <c r="I7" s="2381"/>
      <c r="J7" s="2381"/>
      <c r="K7" s="2381"/>
      <c r="L7" s="2381"/>
      <c r="M7" s="2381"/>
      <c r="N7" s="2343"/>
      <c r="O7" s="2343"/>
      <c r="P7" s="2343"/>
      <c r="Q7" s="2343"/>
      <c r="R7" s="2343"/>
      <c r="S7" s="2343"/>
      <c r="T7" s="2343" t="str">
        <f>'0. Анкета'!C15-2&amp;" факт (отражен в отчете об исполнении сметы расходов)"</f>
        <v>2022 факт (отражен в отчете об исполнении сметы расходов)</v>
      </c>
      <c r="U7" s="2343" t="str">
        <f>'0. Анкета'!C15-2&amp;" факт, подтвержденный первичными документами (договоры/акты и пр.)"</f>
        <v>2022 факт, подтвержденный первичными документами (договоры/акты и пр.)</v>
      </c>
      <c r="V7" s="2357" t="str">
        <f>'0. Анкета'!C15-2&amp;" факт, подтвержденный  бухгалтерскими документами (оборотно-сальдовые ведомости, карточки счетов)"</f>
        <v>2022 факт, подтвержденный  бухгалтерскими документами (оборотно-сальдовые ведомости, карточки счетов)</v>
      </c>
      <c r="W7" s="2387"/>
      <c r="X7" s="2387"/>
      <c r="Y7" s="2387"/>
    </row>
    <row r="8" spans="1:25" ht="25.5" customHeight="1">
      <c r="B8" s="2382"/>
      <c r="C8" s="2382"/>
      <c r="D8" s="2385"/>
      <c r="E8" s="2382"/>
      <c r="F8" s="2343"/>
      <c r="G8" s="2359"/>
      <c r="H8" s="2359"/>
      <c r="I8" s="2382"/>
      <c r="J8" s="2382"/>
      <c r="K8" s="2382"/>
      <c r="L8" s="2382"/>
      <c r="M8" s="2382"/>
      <c r="N8" s="2343"/>
      <c r="O8" s="2343"/>
      <c r="P8" s="2343"/>
      <c r="Q8" s="2343"/>
      <c r="R8" s="2343"/>
      <c r="S8" s="2343"/>
      <c r="T8" s="2343"/>
      <c r="U8" s="2343"/>
      <c r="V8" s="2359"/>
      <c r="W8" s="2388"/>
      <c r="X8" s="2388"/>
      <c r="Y8" s="2388"/>
    </row>
    <row r="9" spans="1:25" ht="12" customHeight="1">
      <c r="B9" s="645">
        <v>1</v>
      </c>
      <c r="C9" s="645">
        <f t="shared" ref="C9:Y9" si="0">B9+1</f>
        <v>2</v>
      </c>
      <c r="D9" s="710">
        <f t="shared" si="0"/>
        <v>3</v>
      </c>
      <c r="E9" s="645">
        <f t="shared" si="0"/>
        <v>4</v>
      </c>
      <c r="F9" s="645">
        <f t="shared" si="0"/>
        <v>5</v>
      </c>
      <c r="G9" s="645">
        <f t="shared" si="0"/>
        <v>6</v>
      </c>
      <c r="H9" s="645">
        <f t="shared" si="0"/>
        <v>7</v>
      </c>
      <c r="I9" s="645">
        <f t="shared" si="0"/>
        <v>8</v>
      </c>
      <c r="J9" s="645">
        <f t="shared" si="0"/>
        <v>9</v>
      </c>
      <c r="K9" s="645">
        <f t="shared" si="0"/>
        <v>10</v>
      </c>
      <c r="L9" s="645">
        <f t="shared" si="0"/>
        <v>11</v>
      </c>
      <c r="M9" s="645">
        <f t="shared" si="0"/>
        <v>12</v>
      </c>
      <c r="N9" s="645">
        <f t="shared" si="0"/>
        <v>13</v>
      </c>
      <c r="O9" s="645">
        <f t="shared" si="0"/>
        <v>14</v>
      </c>
      <c r="P9" s="645">
        <f t="shared" si="0"/>
        <v>15</v>
      </c>
      <c r="Q9" s="645">
        <f t="shared" si="0"/>
        <v>16</v>
      </c>
      <c r="R9" s="645">
        <f t="shared" si="0"/>
        <v>17</v>
      </c>
      <c r="S9" s="645">
        <f t="shared" si="0"/>
        <v>18</v>
      </c>
      <c r="T9" s="645">
        <f t="shared" si="0"/>
        <v>19</v>
      </c>
      <c r="U9" s="645">
        <f t="shared" si="0"/>
        <v>20</v>
      </c>
      <c r="V9" s="645">
        <f t="shared" si="0"/>
        <v>21</v>
      </c>
      <c r="W9" s="645">
        <f t="shared" si="0"/>
        <v>22</v>
      </c>
      <c r="X9" s="645">
        <f t="shared" si="0"/>
        <v>23</v>
      </c>
      <c r="Y9" s="645">
        <f t="shared" si="0"/>
        <v>24</v>
      </c>
    </row>
    <row r="10" spans="1:25" s="711" customFormat="1" ht="24">
      <c r="B10" s="648">
        <f t="shared" ref="B10:B19" si="1">ROW() - ROW(C$9)</f>
        <v>1</v>
      </c>
      <c r="C10" s="687" t="s">
        <v>681</v>
      </c>
      <c r="D10" s="693" t="s">
        <v>738</v>
      </c>
      <c r="E10" s="693"/>
      <c r="F10" s="712"/>
      <c r="G10" s="712"/>
      <c r="H10" s="662"/>
      <c r="I10" s="662" t="s">
        <v>739</v>
      </c>
      <c r="J10" s="713"/>
      <c r="K10" s="714"/>
      <c r="L10" s="714"/>
      <c r="M10" s="714"/>
      <c r="N10" s="713"/>
      <c r="O10" s="713"/>
      <c r="P10" s="712"/>
      <c r="Q10" s="712"/>
      <c r="R10" s="715"/>
      <c r="S10" s="716"/>
      <c r="T10" s="715"/>
      <c r="U10" s="715"/>
      <c r="V10" s="715"/>
      <c r="W10" s="693"/>
      <c r="X10" s="715"/>
      <c r="Y10" s="715"/>
    </row>
    <row r="11" spans="1:25" s="711" customFormat="1" ht="36">
      <c r="B11" s="648">
        <f t="shared" si="1"/>
        <v>2</v>
      </c>
      <c r="C11" s="687" t="s">
        <v>682</v>
      </c>
      <c r="D11" s="693" t="s">
        <v>738</v>
      </c>
      <c r="E11" s="693"/>
      <c r="F11" s="712"/>
      <c r="G11" s="712"/>
      <c r="H11" s="662"/>
      <c r="I11" s="662" t="s">
        <v>740</v>
      </c>
      <c r="J11" s="713"/>
      <c r="K11" s="714"/>
      <c r="L11" s="714"/>
      <c r="M11" s="714"/>
      <c r="N11" s="713"/>
      <c r="O11" s="713"/>
      <c r="P11" s="712"/>
      <c r="Q11" s="712"/>
      <c r="R11" s="715"/>
      <c r="S11" s="716"/>
      <c r="T11" s="715"/>
      <c r="U11" s="715"/>
      <c r="V11" s="715"/>
      <c r="W11" s="693"/>
      <c r="X11" s="715"/>
      <c r="Y11" s="715"/>
    </row>
    <row r="12" spans="1:25" s="711" customFormat="1" ht="36">
      <c r="B12" s="648">
        <f t="shared" si="1"/>
        <v>3</v>
      </c>
      <c r="C12" s="687" t="s">
        <v>682</v>
      </c>
      <c r="D12" s="693" t="s">
        <v>738</v>
      </c>
      <c r="E12" s="693"/>
      <c r="F12" s="712"/>
      <c r="G12" s="712"/>
      <c r="H12" s="717"/>
      <c r="I12" s="662" t="s">
        <v>741</v>
      </c>
      <c r="J12" s="713"/>
      <c r="K12" s="714"/>
      <c r="L12" s="714"/>
      <c r="M12" s="714"/>
      <c r="N12" s="713"/>
      <c r="O12" s="713"/>
      <c r="P12" s="712"/>
      <c r="Q12" s="712"/>
      <c r="R12" s="715"/>
      <c r="S12" s="716"/>
      <c r="T12" s="715"/>
      <c r="U12" s="715"/>
      <c r="V12" s="715"/>
      <c r="W12" s="693"/>
      <c r="X12" s="715"/>
      <c r="Y12" s="715"/>
    </row>
    <row r="13" spans="1:25" s="711" customFormat="1" ht="36">
      <c r="B13" s="648">
        <f t="shared" si="1"/>
        <v>4</v>
      </c>
      <c r="C13" s="687" t="s">
        <v>682</v>
      </c>
      <c r="D13" s="693" t="s">
        <v>738</v>
      </c>
      <c r="E13" s="693"/>
      <c r="F13" s="712"/>
      <c r="G13" s="712"/>
      <c r="H13" s="662"/>
      <c r="I13" s="662" t="s">
        <v>742</v>
      </c>
      <c r="J13" s="713"/>
      <c r="K13" s="714"/>
      <c r="L13" s="714"/>
      <c r="M13" s="714"/>
      <c r="N13" s="713"/>
      <c r="O13" s="713"/>
      <c r="P13" s="712"/>
      <c r="Q13" s="712"/>
      <c r="R13" s="715"/>
      <c r="S13" s="716"/>
      <c r="T13" s="715"/>
      <c r="U13" s="715"/>
      <c r="V13" s="715"/>
      <c r="W13" s="693"/>
      <c r="X13" s="715"/>
      <c r="Y13" s="715"/>
    </row>
    <row r="14" spans="1:25" s="711" customFormat="1" ht="24">
      <c r="B14" s="648">
        <f t="shared" si="1"/>
        <v>5</v>
      </c>
      <c r="C14" s="687" t="s">
        <v>681</v>
      </c>
      <c r="D14" s="693" t="s">
        <v>743</v>
      </c>
      <c r="E14" s="693"/>
      <c r="F14" s="712"/>
      <c r="G14" s="712"/>
      <c r="H14" s="718"/>
      <c r="I14" s="662" t="s">
        <v>739</v>
      </c>
      <c r="J14" s="713"/>
      <c r="K14" s="714"/>
      <c r="L14" s="714"/>
      <c r="M14" s="714"/>
      <c r="N14" s="713"/>
      <c r="O14" s="713"/>
      <c r="P14" s="712"/>
      <c r="Q14" s="712"/>
      <c r="R14" s="715"/>
      <c r="S14" s="716"/>
      <c r="T14" s="715"/>
      <c r="U14" s="715"/>
      <c r="V14" s="715"/>
      <c r="W14" s="693"/>
      <c r="X14" s="715"/>
      <c r="Y14" s="715"/>
    </row>
    <row r="15" spans="1:25" s="711" customFormat="1" ht="36">
      <c r="B15" s="648">
        <f t="shared" si="1"/>
        <v>6</v>
      </c>
      <c r="C15" s="687" t="s">
        <v>682</v>
      </c>
      <c r="D15" s="693" t="s">
        <v>744</v>
      </c>
      <c r="E15" s="693"/>
      <c r="F15" s="712"/>
      <c r="G15" s="712"/>
      <c r="H15" s="717"/>
      <c r="I15" s="662" t="s">
        <v>740</v>
      </c>
      <c r="J15" s="713"/>
      <c r="K15" s="714"/>
      <c r="L15" s="714"/>
      <c r="M15" s="714"/>
      <c r="N15" s="713"/>
      <c r="O15" s="713"/>
      <c r="P15" s="712"/>
      <c r="Q15" s="712"/>
      <c r="R15" s="715"/>
      <c r="S15" s="716"/>
      <c r="T15" s="715"/>
      <c r="U15" s="715"/>
      <c r="V15" s="715"/>
      <c r="W15" s="693"/>
      <c r="X15" s="715"/>
      <c r="Y15" s="715"/>
    </row>
    <row r="16" spans="1:25" s="711" customFormat="1" ht="36">
      <c r="B16" s="648">
        <f t="shared" si="1"/>
        <v>7</v>
      </c>
      <c r="C16" s="687" t="s">
        <v>682</v>
      </c>
      <c r="D16" s="693" t="s">
        <v>744</v>
      </c>
      <c r="E16" s="693"/>
      <c r="F16" s="712"/>
      <c r="G16" s="712"/>
      <c r="H16" s="662"/>
      <c r="I16" s="662" t="s">
        <v>741</v>
      </c>
      <c r="J16" s="713"/>
      <c r="K16" s="714"/>
      <c r="L16" s="714"/>
      <c r="M16" s="714"/>
      <c r="N16" s="713"/>
      <c r="O16" s="713"/>
      <c r="P16" s="712"/>
      <c r="Q16" s="712"/>
      <c r="R16" s="715"/>
      <c r="S16" s="716"/>
      <c r="T16" s="715"/>
      <c r="U16" s="715"/>
      <c r="V16" s="715"/>
      <c r="W16" s="693"/>
      <c r="X16" s="715"/>
      <c r="Y16" s="715"/>
    </row>
    <row r="17" spans="2:25" s="711" customFormat="1" ht="36">
      <c r="B17" s="648">
        <f t="shared" si="1"/>
        <v>8</v>
      </c>
      <c r="C17" s="687" t="s">
        <v>682</v>
      </c>
      <c r="D17" s="693" t="s">
        <v>744</v>
      </c>
      <c r="E17" s="693"/>
      <c r="F17" s="712"/>
      <c r="G17" s="712"/>
      <c r="H17" s="717"/>
      <c r="I17" s="662" t="s">
        <v>742</v>
      </c>
      <c r="J17" s="713"/>
      <c r="K17" s="714"/>
      <c r="L17" s="714"/>
      <c r="M17" s="714"/>
      <c r="N17" s="713"/>
      <c r="O17" s="713"/>
      <c r="P17" s="712"/>
      <c r="Q17" s="712"/>
      <c r="R17" s="715"/>
      <c r="S17" s="716"/>
      <c r="T17" s="715"/>
      <c r="U17" s="715"/>
      <c r="V17" s="715"/>
      <c r="W17" s="693"/>
      <c r="X17" s="715"/>
      <c r="Y17" s="715"/>
    </row>
    <row r="18" spans="2:25" s="711" customFormat="1" ht="36">
      <c r="B18" s="648">
        <f t="shared" si="1"/>
        <v>9</v>
      </c>
      <c r="C18" s="687" t="s">
        <v>682</v>
      </c>
      <c r="D18" s="693" t="s">
        <v>744</v>
      </c>
      <c r="E18" s="693"/>
      <c r="F18" s="712"/>
      <c r="G18" s="712"/>
      <c r="H18" s="717"/>
      <c r="I18" s="662" t="s">
        <v>745</v>
      </c>
      <c r="J18" s="713"/>
      <c r="K18" s="714"/>
      <c r="L18" s="714"/>
      <c r="M18" s="714"/>
      <c r="N18" s="713"/>
      <c r="O18" s="713"/>
      <c r="P18" s="712"/>
      <c r="Q18" s="712"/>
      <c r="R18" s="715"/>
      <c r="S18" s="716"/>
      <c r="T18" s="715"/>
      <c r="U18" s="715"/>
      <c r="V18" s="715"/>
      <c r="W18" s="693"/>
      <c r="X18" s="715"/>
      <c r="Y18" s="715"/>
    </row>
    <row r="19" spans="2:25" ht="36">
      <c r="B19" s="648">
        <f t="shared" si="1"/>
        <v>10</v>
      </c>
      <c r="C19" s="687" t="s">
        <v>682</v>
      </c>
      <c r="D19" s="693" t="s">
        <v>744</v>
      </c>
      <c r="E19" s="693"/>
      <c r="F19" s="663"/>
      <c r="G19" s="663"/>
      <c r="H19" s="717"/>
      <c r="I19" s="662" t="s">
        <v>746</v>
      </c>
      <c r="J19" s="663"/>
      <c r="K19" s="693"/>
      <c r="L19" s="693"/>
      <c r="M19" s="693"/>
      <c r="N19" s="663"/>
      <c r="O19" s="662"/>
      <c r="P19" s="663"/>
      <c r="Q19" s="663"/>
      <c r="R19" s="715"/>
      <c r="S19" s="716"/>
      <c r="T19" s="715"/>
      <c r="U19" s="715"/>
      <c r="V19" s="715"/>
      <c r="W19" s="693"/>
      <c r="X19" s="715"/>
      <c r="Y19" s="715"/>
    </row>
    <row r="20" spans="2:25" ht="14.25">
      <c r="B20" s="552"/>
      <c r="C20" s="473" t="s">
        <v>7</v>
      </c>
      <c r="D20" s="668"/>
      <c r="E20" s="552"/>
      <c r="F20" s="552"/>
      <c r="G20" s="427"/>
      <c r="H20" s="552"/>
      <c r="I20" s="552"/>
      <c r="J20" s="552"/>
      <c r="K20" s="552"/>
      <c r="L20" s="552"/>
      <c r="M20" s="552"/>
      <c r="N20" s="427"/>
      <c r="O20" s="427"/>
      <c r="P20" s="427"/>
      <c r="Q20" s="427"/>
      <c r="R20" s="469"/>
      <c r="S20" s="719"/>
      <c r="T20" s="469"/>
      <c r="U20" s="469"/>
      <c r="V20" s="469"/>
      <c r="W20" s="695"/>
      <c r="X20" s="469"/>
      <c r="Y20" s="469"/>
    </row>
    <row r="21" spans="2:25" ht="12.75">
      <c r="B21" s="503"/>
      <c r="C21" s="669" t="s">
        <v>497</v>
      </c>
      <c r="D21" s="501"/>
      <c r="E21" s="503"/>
      <c r="F21" s="503"/>
      <c r="G21" s="503"/>
      <c r="H21" s="503"/>
      <c r="I21" s="503"/>
      <c r="J21" s="503"/>
      <c r="K21" s="503"/>
      <c r="L21" s="503"/>
      <c r="M21" s="503"/>
      <c r="N21" s="503"/>
      <c r="O21" s="503"/>
      <c r="P21" s="503"/>
      <c r="Q21" s="503"/>
      <c r="R21" s="672">
        <f>SUMIF($C$10:$C$20,$G$1,R10:R20)</f>
        <v>0</v>
      </c>
      <c r="S21" s="720"/>
      <c r="T21" s="672">
        <f>SUMIF($C$10:$C$20,$G$1,T10:T20)</f>
        <v>0</v>
      </c>
      <c r="U21" s="672">
        <f>SUMIF($C$10:$C$20,$G$1,U10:U20)</f>
        <v>0</v>
      </c>
      <c r="V21" s="672">
        <f>SUMIF($C$10:$C$20,$G$1,V10:V20)</f>
        <v>0</v>
      </c>
      <c r="W21" s="501"/>
      <c r="X21" s="672">
        <f>SUMIF($C$10:$C$20,$G$1,X10:X20)</f>
        <v>0</v>
      </c>
      <c r="Y21" s="501"/>
    </row>
    <row r="23" spans="2:25" ht="12">
      <c r="C23" s="677"/>
    </row>
    <row r="24" spans="2:25" ht="18.75">
      <c r="B24" s="677" t="s">
        <v>9</v>
      </c>
      <c r="C24" s="481"/>
      <c r="D24" s="721"/>
      <c r="E24" s="704"/>
      <c r="F24" s="704"/>
      <c r="G24" s="704"/>
      <c r="H24" s="704"/>
      <c r="I24" s="704"/>
      <c r="J24" s="704"/>
      <c r="K24" s="704"/>
      <c r="L24" s="704"/>
      <c r="M24" s="704"/>
      <c r="T24" s="212"/>
      <c r="U24" s="212"/>
      <c r="V24" s="212"/>
      <c r="W24" s="212"/>
      <c r="X24" s="212"/>
      <c r="Y24" s="212"/>
    </row>
    <row r="25" spans="2:25" s="212" customFormat="1" ht="12.75">
      <c r="B25" s="700" t="s">
        <v>2178</v>
      </c>
      <c r="C25" s="481"/>
      <c r="D25" s="722"/>
    </row>
    <row r="26" spans="2:25" ht="12.75">
      <c r="B26" s="700" t="s">
        <v>543</v>
      </c>
      <c r="C26" s="481"/>
      <c r="T26" s="212"/>
      <c r="U26" s="212"/>
      <c r="V26" s="212"/>
      <c r="W26" s="212"/>
      <c r="X26" s="212"/>
      <c r="Y26" s="212"/>
    </row>
    <row r="27" spans="2:25" ht="12.75">
      <c r="B27" s="700" t="s">
        <v>713</v>
      </c>
      <c r="C27" s="481"/>
    </row>
    <row r="28" spans="2:25" ht="12.75">
      <c r="B28" s="700" t="s">
        <v>545</v>
      </c>
      <c r="C28" s="481"/>
    </row>
  </sheetData>
  <sheetProtection formatColumns="0" formatRows="0" insertHyperlinks="0"/>
  <mergeCells count="27">
    <mergeCell ref="X6:X8"/>
    <mergeCell ref="Y6:Y8"/>
    <mergeCell ref="T7:T8"/>
    <mergeCell ref="U7:U8"/>
    <mergeCell ref="V7:V8"/>
    <mergeCell ref="W6:W8"/>
    <mergeCell ref="P6:P8"/>
    <mergeCell ref="Q6:Q8"/>
    <mergeCell ref="R6:R8"/>
    <mergeCell ref="S6:S8"/>
    <mergeCell ref="T6:V6"/>
    <mergeCell ref="O6:O8"/>
    <mergeCell ref="A1:C1"/>
    <mergeCell ref="B4:V4"/>
    <mergeCell ref="B6:B8"/>
    <mergeCell ref="C6:C8"/>
    <mergeCell ref="D6:D8"/>
    <mergeCell ref="E6:E8"/>
    <mergeCell ref="F6:F8"/>
    <mergeCell ref="G6:G8"/>
    <mergeCell ref="H6:H8"/>
    <mergeCell ref="I6:I8"/>
    <mergeCell ref="J6:J8"/>
    <mergeCell ref="K6:K8"/>
    <mergeCell ref="L6:L8"/>
    <mergeCell ref="M6:M8"/>
    <mergeCell ref="N6:N8"/>
  </mergeCells>
  <dataValidations count="1">
    <dataValidation type="list" allowBlank="1" showInputMessage="1" showErrorMessage="1" sqref="C10:C19">
      <formula1>$G$1:$G$2</formula1>
    </dataValidation>
  </dataValidations>
  <hyperlinks>
    <hyperlink ref="D2" location="'Перечень форм для заполнения'!A1" display="Перечень форм"/>
    <hyperlink ref="A1" location="'Перечень форм для заполнения'!A1" display="Вернуться к перечню форм"/>
    <hyperlink ref="C20" location="'14 (лизинг ЭСХ-отч пер)'!A1" display="Добавить"/>
  </hyperlinks>
  <pageMargins left="0.70866141732283472" right="0.31496062992125984" top="0.74803149606299213" bottom="0.74803149606299213" header="0.31496062992125984" footer="0.31496062992125984"/>
  <pageSetup paperSize="9" scale="6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92D050"/>
    <pageSetUpPr fitToPage="1"/>
  </sheetPr>
  <dimension ref="A1:AB29"/>
  <sheetViews>
    <sheetView showGridLines="0" zoomScale="85" zoomScaleNormal="85" zoomScaleSheetLayoutView="55" workbookViewId="0">
      <selection activeCell="W1" sqref="W1:X1048576"/>
    </sheetView>
  </sheetViews>
  <sheetFormatPr defaultColWidth="9.140625" defaultRowHeight="12.75" outlineLevelCol="1"/>
  <cols>
    <col min="1" max="1" width="3.7109375" style="621" customWidth="1"/>
    <col min="2" max="2" width="4.5703125" style="621" customWidth="1"/>
    <col min="3" max="3" width="27.28515625" style="621" customWidth="1"/>
    <col min="4" max="4" width="30.85546875" style="705" customWidth="1"/>
    <col min="5" max="7" width="30.85546875" style="621" customWidth="1"/>
    <col min="8" max="8" width="11.7109375" style="621" customWidth="1"/>
    <col min="9" max="9" width="20.5703125" style="621" bestFit="1" customWidth="1"/>
    <col min="10" max="10" width="15.140625" style="621" customWidth="1"/>
    <col min="11" max="11" width="11.7109375" style="621" customWidth="1"/>
    <col min="12" max="12" width="15.5703125" style="621" customWidth="1"/>
    <col min="13" max="13" width="15.28515625" style="621" customWidth="1"/>
    <col min="14" max="14" width="11.42578125" style="621" customWidth="1"/>
    <col min="15" max="15" width="11.5703125" style="621" customWidth="1"/>
    <col min="16" max="17" width="14.85546875" style="621" customWidth="1"/>
    <col min="18" max="18" width="14.140625" style="621" customWidth="1"/>
    <col min="19" max="19" width="15.28515625" style="621" customWidth="1"/>
    <col min="20" max="20" width="14.140625" style="621" customWidth="1"/>
    <col min="21" max="22" width="13.7109375" style="212" customWidth="1"/>
    <col min="23" max="24" width="18.42578125" style="212" hidden="1" customWidth="1" outlineLevel="1"/>
    <col min="25" max="25" width="22.7109375" style="621" customWidth="1" collapsed="1"/>
    <col min="26" max="26" width="22.7109375" style="621" customWidth="1"/>
    <col min="27" max="27" width="20.85546875" style="621" customWidth="1"/>
    <col min="28" max="28" width="25.7109375" style="621" customWidth="1"/>
    <col min="29" max="34" width="14.42578125" style="621" customWidth="1"/>
    <col min="35" max="16384" width="9.140625" style="621"/>
  </cols>
  <sheetData>
    <row r="1" spans="1:28">
      <c r="A1" s="2379" t="s">
        <v>210</v>
      </c>
      <c r="B1" s="2379"/>
      <c r="C1" s="2379"/>
      <c r="D1" s="723"/>
      <c r="E1" s="679"/>
      <c r="F1" s="679"/>
      <c r="G1" s="622" t="s">
        <v>681</v>
      </c>
      <c r="H1" s="679"/>
      <c r="I1" s="679"/>
      <c r="J1" s="679"/>
      <c r="K1" s="679"/>
      <c r="L1" s="679"/>
      <c r="M1" s="679"/>
      <c r="N1" s="724"/>
      <c r="O1" s="724"/>
      <c r="P1" s="724"/>
      <c r="Q1" s="724"/>
      <c r="R1" s="724"/>
      <c r="S1" s="724"/>
      <c r="T1" s="724"/>
      <c r="U1" s="585"/>
      <c r="V1" s="585"/>
      <c r="W1" s="585"/>
      <c r="X1" s="585"/>
      <c r="Y1" s="623"/>
      <c r="Z1" s="623"/>
      <c r="AA1" s="623"/>
      <c r="AB1" s="623"/>
    </row>
    <row r="2" spans="1:28" ht="18.75">
      <c r="B2" s="679"/>
      <c r="C2" s="679"/>
      <c r="D2" s="725"/>
      <c r="E2" s="726"/>
      <c r="F2" s="726"/>
      <c r="G2" s="622" t="s">
        <v>682</v>
      </c>
      <c r="H2" s="679"/>
      <c r="I2" s="679"/>
      <c r="J2" s="679"/>
      <c r="K2" s="679"/>
      <c r="L2" s="679"/>
      <c r="M2" s="679"/>
      <c r="N2" s="679"/>
      <c r="O2" s="679"/>
      <c r="P2" s="679"/>
      <c r="Q2" s="679"/>
      <c r="R2" s="679"/>
      <c r="S2" s="679"/>
      <c r="T2" s="679"/>
      <c r="U2" s="585"/>
      <c r="V2" s="585"/>
      <c r="W2" s="585"/>
      <c r="X2" s="585"/>
    </row>
    <row r="3" spans="1:28">
      <c r="B3" s="679"/>
      <c r="C3" s="679"/>
      <c r="D3" s="723"/>
      <c r="E3" s="679"/>
      <c r="F3" s="679"/>
      <c r="G3" s="679"/>
      <c r="H3" s="679"/>
      <c r="I3" s="679"/>
      <c r="J3" s="679"/>
      <c r="K3" s="679"/>
      <c r="L3" s="679"/>
      <c r="M3" s="679"/>
      <c r="N3" s="724"/>
      <c r="O3" s="724"/>
      <c r="P3" s="724"/>
      <c r="Q3" s="724"/>
      <c r="R3" s="724"/>
      <c r="S3" s="724"/>
      <c r="T3" s="724"/>
      <c r="U3" s="585"/>
      <c r="V3" s="585"/>
      <c r="W3" s="585"/>
      <c r="X3" s="585"/>
      <c r="Y3" s="623"/>
      <c r="Z3" s="623"/>
      <c r="AA3" s="623"/>
      <c r="AB3" s="623"/>
    </row>
    <row r="4" spans="1:28" ht="28.5" customHeight="1">
      <c r="B4" s="2370" t="str">
        <f>"Форма для представления сведений по лизингу электросетевого имущества на "&amp;'0. Анкета'!C15-1&amp;" и "&amp;'0. Анкета'!C15&amp;" годы"</f>
        <v>Форма для представления сведений по лизингу электросетевого имущества на 2023 и 2024 годы</v>
      </c>
      <c r="C4" s="2370"/>
      <c r="D4" s="2370"/>
      <c r="E4" s="2370"/>
      <c r="F4" s="2370"/>
      <c r="G4" s="2370"/>
      <c r="H4" s="2370"/>
      <c r="I4" s="2370"/>
      <c r="J4" s="2370"/>
      <c r="K4" s="2370"/>
      <c r="L4" s="2370"/>
      <c r="M4" s="2370"/>
      <c r="N4" s="2370"/>
      <c r="O4" s="2370"/>
      <c r="P4" s="2370"/>
      <c r="Q4" s="2370"/>
      <c r="R4" s="2370"/>
      <c r="S4" s="2370"/>
      <c r="T4" s="2370"/>
      <c r="U4" s="585"/>
      <c r="V4" s="585"/>
      <c r="W4" s="585"/>
      <c r="X4" s="585"/>
      <c r="Y4" s="708"/>
      <c r="Z4" s="708"/>
      <c r="AA4" s="708"/>
      <c r="AB4" s="708"/>
    </row>
    <row r="5" spans="1:28">
      <c r="B5" s="638"/>
      <c r="C5" s="638"/>
      <c r="D5" s="709"/>
      <c r="E5" s="638"/>
      <c r="F5" s="638"/>
      <c r="G5" s="638"/>
      <c r="H5" s="638"/>
      <c r="I5" s="638"/>
      <c r="J5" s="638"/>
      <c r="K5" s="638"/>
      <c r="L5" s="638"/>
      <c r="M5" s="638"/>
      <c r="N5" s="639"/>
      <c r="O5" s="638"/>
      <c r="P5" s="640"/>
      <c r="Q5" s="640"/>
      <c r="R5" s="640"/>
      <c r="S5" s="640"/>
      <c r="T5" s="640"/>
      <c r="U5" s="585"/>
      <c r="V5" s="585"/>
      <c r="W5" s="585"/>
      <c r="X5" s="585"/>
      <c r="Y5" s="637"/>
      <c r="Z5" s="637"/>
      <c r="AA5" s="637"/>
      <c r="AB5" s="637"/>
    </row>
    <row r="6" spans="1:28" ht="29.45" customHeight="1">
      <c r="B6" s="2380" t="s">
        <v>12</v>
      </c>
      <c r="C6" s="2380" t="s">
        <v>683</v>
      </c>
      <c r="D6" s="2383" t="s">
        <v>684</v>
      </c>
      <c r="E6" s="2380" t="s">
        <v>730</v>
      </c>
      <c r="F6" s="2343" t="s">
        <v>731</v>
      </c>
      <c r="G6" s="2343" t="s">
        <v>732</v>
      </c>
      <c r="H6" s="2357" t="s">
        <v>686</v>
      </c>
      <c r="I6" s="2380" t="s">
        <v>687</v>
      </c>
      <c r="J6" s="2380" t="s">
        <v>688</v>
      </c>
      <c r="K6" s="2380" t="s">
        <v>689</v>
      </c>
      <c r="L6" s="2380" t="s">
        <v>733</v>
      </c>
      <c r="M6" s="2380" t="s">
        <v>691</v>
      </c>
      <c r="N6" s="2343" t="s">
        <v>692</v>
      </c>
      <c r="O6" s="2343" t="s">
        <v>693</v>
      </c>
      <c r="P6" s="2357" t="s">
        <v>734</v>
      </c>
      <c r="Q6" s="2343" t="s">
        <v>735</v>
      </c>
      <c r="R6" s="2343" t="s">
        <v>736</v>
      </c>
      <c r="S6" s="2343" t="str">
        <f>"Лизинг электросетевого имущества на "&amp;'0. Анкета'!C15-1&amp;" год, утверждено, тыс. руб"</f>
        <v>Лизинг электросетевого имущества на 2023 год, утверждено, тыс. руб</v>
      </c>
      <c r="T6" s="2357" t="str">
        <f>"Сумма лизинговых платежей, заявлена в тарифе на "&amp;'0. Анкета'!C15&amp;" год, тыс. руб. (без НДС)"</f>
        <v>Сумма лизинговых платежей, заявлена в тарифе на 2024 год, тыс. руб. (без НДС)</v>
      </c>
      <c r="U6" s="2357" t="str">
        <f>"Сумма лизинговых платежей по договорам за "&amp;'0. Анкета'!C15&amp;" год, тыс. руб. (без НДС)"</f>
        <v>Сумма лизинговых платежей по договорам за 2024 год, тыс. руб. (без НДС)</v>
      </c>
      <c r="V6" s="2386" t="s">
        <v>737</v>
      </c>
      <c r="W6" s="2389" t="str">
        <f>"Принято Регулятором в расчет НВВ на "&amp;'0. Анкета'!C15&amp;" год, тыс. руб. (без НДС)"</f>
        <v>Принято Регулятором в расчет НВВ на 2024 год, тыс. руб. (без НДС)</v>
      </c>
      <c r="X6" s="2390"/>
    </row>
    <row r="7" spans="1:28" ht="13.15" customHeight="1">
      <c r="B7" s="2381"/>
      <c r="C7" s="2381"/>
      <c r="D7" s="2384"/>
      <c r="E7" s="2381"/>
      <c r="F7" s="2343"/>
      <c r="G7" s="2343"/>
      <c r="H7" s="2358"/>
      <c r="I7" s="2381"/>
      <c r="J7" s="2381"/>
      <c r="K7" s="2381"/>
      <c r="L7" s="2381"/>
      <c r="M7" s="2381"/>
      <c r="N7" s="2343"/>
      <c r="O7" s="2343"/>
      <c r="P7" s="2358"/>
      <c r="Q7" s="2343"/>
      <c r="R7" s="2343"/>
      <c r="S7" s="2343"/>
      <c r="T7" s="2358"/>
      <c r="U7" s="2358"/>
      <c r="V7" s="2387"/>
      <c r="W7" s="2391"/>
      <c r="X7" s="2392"/>
    </row>
    <row r="8" spans="1:28" ht="55.5" customHeight="1">
      <c r="B8" s="2382"/>
      <c r="C8" s="2382"/>
      <c r="D8" s="2385"/>
      <c r="E8" s="2382"/>
      <c r="F8" s="2343"/>
      <c r="G8" s="2343"/>
      <c r="H8" s="2359"/>
      <c r="I8" s="2382"/>
      <c r="J8" s="2382"/>
      <c r="K8" s="2382"/>
      <c r="L8" s="2382"/>
      <c r="M8" s="2382"/>
      <c r="N8" s="2343"/>
      <c r="O8" s="2343"/>
      <c r="P8" s="2359"/>
      <c r="Q8" s="2343"/>
      <c r="R8" s="2343"/>
      <c r="S8" s="2343"/>
      <c r="T8" s="2359"/>
      <c r="U8" s="2359"/>
      <c r="V8" s="2388"/>
      <c r="W8" s="727" t="str">
        <f>"сумма лизинговых платежей за "&amp;'0. Анкета'!C15&amp;" год, тыс. руб. (без НДС)"</f>
        <v>сумма лизинговых платежей за 2024 год, тыс. руб. (без НДС)</v>
      </c>
      <c r="X8" s="728" t="s">
        <v>747</v>
      </c>
    </row>
    <row r="9" spans="1:28">
      <c r="B9" s="729">
        <v>1</v>
      </c>
      <c r="C9" s="645">
        <f>B9+1</f>
        <v>2</v>
      </c>
      <c r="D9" s="730">
        <f>B9+1</f>
        <v>2</v>
      </c>
      <c r="E9" s="731">
        <f>D9+1</f>
        <v>3</v>
      </c>
      <c r="F9" s="731">
        <f>E9+1</f>
        <v>4</v>
      </c>
      <c r="G9" s="731">
        <f>F9+1</f>
        <v>5</v>
      </c>
      <c r="H9" s="731">
        <f t="shared" ref="H9:V9" si="0">G9+1</f>
        <v>6</v>
      </c>
      <c r="I9" s="731">
        <f t="shared" si="0"/>
        <v>7</v>
      </c>
      <c r="J9" s="731">
        <f t="shared" si="0"/>
        <v>8</v>
      </c>
      <c r="K9" s="731">
        <f t="shared" si="0"/>
        <v>9</v>
      </c>
      <c r="L9" s="731">
        <f t="shared" si="0"/>
        <v>10</v>
      </c>
      <c r="M9" s="731">
        <f t="shared" si="0"/>
        <v>11</v>
      </c>
      <c r="N9" s="731">
        <f t="shared" si="0"/>
        <v>12</v>
      </c>
      <c r="O9" s="731">
        <f t="shared" si="0"/>
        <v>13</v>
      </c>
      <c r="P9" s="731">
        <f t="shared" si="0"/>
        <v>14</v>
      </c>
      <c r="Q9" s="731">
        <f t="shared" si="0"/>
        <v>15</v>
      </c>
      <c r="R9" s="731">
        <f t="shared" si="0"/>
        <v>16</v>
      </c>
      <c r="S9" s="731">
        <f t="shared" si="0"/>
        <v>17</v>
      </c>
      <c r="T9" s="731">
        <f t="shared" si="0"/>
        <v>18</v>
      </c>
      <c r="U9" s="731">
        <f t="shared" si="0"/>
        <v>19</v>
      </c>
      <c r="V9" s="729">
        <f t="shared" si="0"/>
        <v>20</v>
      </c>
      <c r="W9" s="731">
        <f>V9+1</f>
        <v>21</v>
      </c>
      <c r="X9" s="729">
        <f>W9+1</f>
        <v>22</v>
      </c>
    </row>
    <row r="10" spans="1:28" ht="24">
      <c r="B10" s="648">
        <f>ROW() - ROW(C$9)</f>
        <v>1</v>
      </c>
      <c r="C10" s="687" t="s">
        <v>681</v>
      </c>
      <c r="D10" s="693" t="s">
        <v>738</v>
      </c>
      <c r="E10" s="662"/>
      <c r="F10" s="732"/>
      <c r="G10" s="732"/>
      <c r="H10" s="662"/>
      <c r="I10" s="662" t="s">
        <v>739</v>
      </c>
      <c r="J10" s="713"/>
      <c r="K10" s="733"/>
      <c r="L10" s="733"/>
      <c r="M10" s="733"/>
      <c r="N10" s="734"/>
      <c r="O10" s="734"/>
      <c r="P10" s="732"/>
      <c r="Q10" s="732"/>
      <c r="R10" s="735"/>
      <c r="S10" s="716"/>
      <c r="T10" s="735"/>
      <c r="U10" s="735"/>
      <c r="V10" s="693"/>
      <c r="W10" s="735"/>
      <c r="X10" s="693"/>
    </row>
    <row r="11" spans="1:28" ht="36">
      <c r="B11" s="648">
        <f t="shared" ref="B11:B19" si="1">ROW() - ROW(C$9)</f>
        <v>2</v>
      </c>
      <c r="C11" s="687" t="s">
        <v>682</v>
      </c>
      <c r="D11" s="693" t="s">
        <v>738</v>
      </c>
      <c r="E11" s="662"/>
      <c r="F11" s="732"/>
      <c r="G11" s="732"/>
      <c r="H11" s="662"/>
      <c r="I11" s="662" t="s">
        <v>740</v>
      </c>
      <c r="J11" s="713"/>
      <c r="K11" s="733"/>
      <c r="L11" s="733"/>
      <c r="M11" s="733"/>
      <c r="N11" s="734"/>
      <c r="O11" s="734"/>
      <c r="P11" s="732"/>
      <c r="Q11" s="732"/>
      <c r="R11" s="735"/>
      <c r="S11" s="716"/>
      <c r="T11" s="735"/>
      <c r="U11" s="735"/>
      <c r="V11" s="693"/>
      <c r="W11" s="735"/>
      <c r="X11" s="693"/>
    </row>
    <row r="12" spans="1:28" ht="36">
      <c r="B12" s="648">
        <f t="shared" si="1"/>
        <v>3</v>
      </c>
      <c r="C12" s="687" t="s">
        <v>682</v>
      </c>
      <c r="D12" s="693" t="s">
        <v>738</v>
      </c>
      <c r="E12" s="662"/>
      <c r="F12" s="732"/>
      <c r="G12" s="732"/>
      <c r="H12" s="717"/>
      <c r="I12" s="662" t="s">
        <v>741</v>
      </c>
      <c r="J12" s="713"/>
      <c r="K12" s="733"/>
      <c r="L12" s="733"/>
      <c r="M12" s="733"/>
      <c r="N12" s="734"/>
      <c r="O12" s="734"/>
      <c r="P12" s="732"/>
      <c r="Q12" s="732"/>
      <c r="R12" s="735"/>
      <c r="S12" s="716"/>
      <c r="T12" s="735"/>
      <c r="U12" s="735"/>
      <c r="V12" s="693"/>
      <c r="W12" s="735"/>
      <c r="X12" s="693"/>
    </row>
    <row r="13" spans="1:28" ht="36">
      <c r="B13" s="648">
        <f t="shared" si="1"/>
        <v>4</v>
      </c>
      <c r="C13" s="687" t="s">
        <v>682</v>
      </c>
      <c r="D13" s="693" t="s">
        <v>738</v>
      </c>
      <c r="E13" s="662"/>
      <c r="F13" s="732"/>
      <c r="G13" s="732"/>
      <c r="H13" s="662"/>
      <c r="I13" s="662" t="s">
        <v>742</v>
      </c>
      <c r="J13" s="713"/>
      <c r="K13" s="733"/>
      <c r="L13" s="733"/>
      <c r="M13" s="733"/>
      <c r="N13" s="734"/>
      <c r="O13" s="734"/>
      <c r="P13" s="732"/>
      <c r="Q13" s="732"/>
      <c r="R13" s="735"/>
      <c r="S13" s="716"/>
      <c r="T13" s="735"/>
      <c r="U13" s="735"/>
      <c r="V13" s="693"/>
      <c r="W13" s="735"/>
      <c r="X13" s="693"/>
    </row>
    <row r="14" spans="1:28" ht="24">
      <c r="B14" s="648">
        <f t="shared" si="1"/>
        <v>5</v>
      </c>
      <c r="C14" s="687" t="s">
        <v>681</v>
      </c>
      <c r="D14" s="693" t="s">
        <v>743</v>
      </c>
      <c r="E14" s="662"/>
      <c r="F14" s="732"/>
      <c r="G14" s="732"/>
      <c r="H14" s="718"/>
      <c r="I14" s="662" t="s">
        <v>739</v>
      </c>
      <c r="J14" s="713"/>
      <c r="K14" s="733"/>
      <c r="L14" s="733"/>
      <c r="M14" s="733"/>
      <c r="N14" s="734"/>
      <c r="O14" s="734"/>
      <c r="P14" s="732"/>
      <c r="Q14" s="732"/>
      <c r="R14" s="735"/>
      <c r="S14" s="716"/>
      <c r="T14" s="735"/>
      <c r="U14" s="735"/>
      <c r="V14" s="693"/>
      <c r="W14" s="735"/>
      <c r="X14" s="693"/>
    </row>
    <row r="15" spans="1:28" ht="36">
      <c r="B15" s="648">
        <f t="shared" si="1"/>
        <v>6</v>
      </c>
      <c r="C15" s="687" t="s">
        <v>682</v>
      </c>
      <c r="D15" s="693" t="s">
        <v>744</v>
      </c>
      <c r="E15" s="662"/>
      <c r="F15" s="732"/>
      <c r="G15" s="732"/>
      <c r="H15" s="717"/>
      <c r="I15" s="662" t="s">
        <v>740</v>
      </c>
      <c r="J15" s="713"/>
      <c r="K15" s="733"/>
      <c r="L15" s="733"/>
      <c r="M15" s="733"/>
      <c r="N15" s="734"/>
      <c r="O15" s="734"/>
      <c r="P15" s="732"/>
      <c r="Q15" s="732"/>
      <c r="R15" s="735"/>
      <c r="S15" s="716"/>
      <c r="T15" s="735"/>
      <c r="U15" s="735"/>
      <c r="V15" s="693"/>
      <c r="W15" s="735"/>
      <c r="X15" s="693"/>
    </row>
    <row r="16" spans="1:28" ht="36">
      <c r="B16" s="648">
        <f t="shared" si="1"/>
        <v>7</v>
      </c>
      <c r="C16" s="687" t="s">
        <v>682</v>
      </c>
      <c r="D16" s="693" t="s">
        <v>744</v>
      </c>
      <c r="E16" s="662"/>
      <c r="F16" s="732"/>
      <c r="G16" s="732"/>
      <c r="H16" s="662"/>
      <c r="I16" s="662" t="s">
        <v>741</v>
      </c>
      <c r="J16" s="713"/>
      <c r="K16" s="733"/>
      <c r="L16" s="733"/>
      <c r="M16" s="733"/>
      <c r="N16" s="734"/>
      <c r="O16" s="734"/>
      <c r="P16" s="732"/>
      <c r="Q16" s="732"/>
      <c r="R16" s="735"/>
      <c r="S16" s="716"/>
      <c r="T16" s="735"/>
      <c r="U16" s="735"/>
      <c r="V16" s="693"/>
      <c r="W16" s="735"/>
      <c r="X16" s="693"/>
    </row>
    <row r="17" spans="2:24" ht="36">
      <c r="B17" s="648">
        <f t="shared" si="1"/>
        <v>8</v>
      </c>
      <c r="C17" s="687" t="s">
        <v>682</v>
      </c>
      <c r="D17" s="693" t="s">
        <v>744</v>
      </c>
      <c r="E17" s="662"/>
      <c r="F17" s="732"/>
      <c r="G17" s="732"/>
      <c r="H17" s="717"/>
      <c r="I17" s="662" t="s">
        <v>742</v>
      </c>
      <c r="J17" s="713"/>
      <c r="K17" s="733"/>
      <c r="L17" s="733"/>
      <c r="M17" s="733"/>
      <c r="N17" s="734"/>
      <c r="O17" s="734"/>
      <c r="P17" s="732"/>
      <c r="Q17" s="732"/>
      <c r="R17" s="735"/>
      <c r="S17" s="716"/>
      <c r="T17" s="735"/>
      <c r="U17" s="735"/>
      <c r="V17" s="693"/>
      <c r="W17" s="735"/>
      <c r="X17" s="693"/>
    </row>
    <row r="18" spans="2:24" ht="36">
      <c r="B18" s="648">
        <f t="shared" si="1"/>
        <v>9</v>
      </c>
      <c r="C18" s="687" t="s">
        <v>682</v>
      </c>
      <c r="D18" s="693" t="s">
        <v>744</v>
      </c>
      <c r="E18" s="662"/>
      <c r="F18" s="732"/>
      <c r="G18" s="732"/>
      <c r="H18" s="717"/>
      <c r="I18" s="662" t="s">
        <v>745</v>
      </c>
      <c r="J18" s="713"/>
      <c r="K18" s="733"/>
      <c r="L18" s="733"/>
      <c r="M18" s="733"/>
      <c r="N18" s="734"/>
      <c r="O18" s="734"/>
      <c r="P18" s="732"/>
      <c r="Q18" s="732"/>
      <c r="R18" s="735"/>
      <c r="S18" s="716"/>
      <c r="T18" s="735"/>
      <c r="U18" s="735"/>
      <c r="V18" s="693"/>
      <c r="W18" s="735"/>
      <c r="X18" s="693"/>
    </row>
    <row r="19" spans="2:24" ht="36">
      <c r="B19" s="648">
        <f t="shared" si="1"/>
        <v>10</v>
      </c>
      <c r="C19" s="687" t="s">
        <v>682</v>
      </c>
      <c r="D19" s="693" t="s">
        <v>744</v>
      </c>
      <c r="E19" s="662"/>
      <c r="F19" s="732"/>
      <c r="G19" s="732"/>
      <c r="H19" s="717"/>
      <c r="I19" s="662" t="s">
        <v>746</v>
      </c>
      <c r="J19" s="663"/>
      <c r="K19" s="733"/>
      <c r="L19" s="733"/>
      <c r="M19" s="733"/>
      <c r="N19" s="734"/>
      <c r="O19" s="734"/>
      <c r="P19" s="732"/>
      <c r="Q19" s="732"/>
      <c r="R19" s="735"/>
      <c r="S19" s="716"/>
      <c r="T19" s="735"/>
      <c r="U19" s="735"/>
      <c r="V19" s="693"/>
      <c r="W19" s="735"/>
      <c r="X19" s="693"/>
    </row>
    <row r="20" spans="2:24" ht="14.25">
      <c r="B20" s="736"/>
      <c r="C20" s="473" t="s">
        <v>7</v>
      </c>
      <c r="D20" s="737"/>
      <c r="E20" s="736"/>
      <c r="F20" s="736"/>
      <c r="G20" s="738"/>
      <c r="H20" s="736"/>
      <c r="I20" s="736"/>
      <c r="J20" s="736"/>
      <c r="K20" s="736"/>
      <c r="L20" s="736"/>
      <c r="M20" s="736"/>
      <c r="N20" s="738"/>
      <c r="O20" s="738"/>
      <c r="P20" s="738"/>
      <c r="Q20" s="738"/>
      <c r="R20" s="719"/>
      <c r="S20" s="719"/>
      <c r="T20" s="719"/>
      <c r="U20" s="719"/>
      <c r="V20" s="695"/>
      <c r="W20" s="719"/>
      <c r="X20" s="695"/>
    </row>
    <row r="21" spans="2:24">
      <c r="B21" s="739"/>
      <c r="C21" s="740" t="s">
        <v>497</v>
      </c>
      <c r="D21" s="741"/>
      <c r="E21" s="739"/>
      <c r="F21" s="739"/>
      <c r="G21" s="739"/>
      <c r="H21" s="739"/>
      <c r="I21" s="739"/>
      <c r="J21" s="739"/>
      <c r="K21" s="739"/>
      <c r="L21" s="739"/>
      <c r="M21" s="739"/>
      <c r="N21" s="739"/>
      <c r="O21" s="739"/>
      <c r="P21" s="739"/>
      <c r="Q21" s="739"/>
      <c r="R21" s="672">
        <f>SUMIF($C$10:$C$20,$G$1,R10:R20)</f>
        <v>0</v>
      </c>
      <c r="S21" s="720"/>
      <c r="T21" s="672">
        <f>SUMIF($C$10:$C$20,$G$1,T10:T20)</f>
        <v>0</v>
      </c>
      <c r="U21" s="672">
        <f>SUMIF($C$10:$C$20,$G$1,U10:U20)</f>
        <v>0</v>
      </c>
      <c r="V21" s="501"/>
      <c r="W21" s="672">
        <f>SUMIF($C$10:$C$20,$G$1,W10:W20)</f>
        <v>0</v>
      </c>
      <c r="X21" s="501"/>
    </row>
    <row r="22" spans="2:24">
      <c r="B22" s="742"/>
      <c r="C22" s="742"/>
      <c r="D22" s="743"/>
      <c r="E22" s="742"/>
      <c r="F22" s="742"/>
      <c r="G22" s="742"/>
      <c r="H22" s="742"/>
      <c r="I22" s="742"/>
      <c r="J22" s="742"/>
      <c r="K22" s="742"/>
      <c r="L22" s="742"/>
      <c r="M22" s="742"/>
      <c r="N22" s="742"/>
      <c r="O22" s="742"/>
      <c r="P22" s="742"/>
      <c r="Q22" s="742"/>
      <c r="R22" s="742"/>
      <c r="S22" s="742"/>
      <c r="T22" s="742"/>
      <c r="U22" s="585"/>
      <c r="V22" s="585"/>
      <c r="W22" s="585"/>
      <c r="X22" s="585"/>
    </row>
    <row r="23" spans="2:24" ht="2.4500000000000002" hidden="1" customHeight="1">
      <c r="B23" s="677"/>
      <c r="C23" s="677"/>
      <c r="D23" s="744"/>
      <c r="E23" s="616"/>
      <c r="F23" s="616"/>
      <c r="G23" s="616"/>
      <c r="H23" s="745"/>
      <c r="I23" s="745"/>
      <c r="J23" s="745"/>
      <c r="K23" s="745"/>
      <c r="L23" s="745"/>
      <c r="M23" s="745"/>
      <c r="N23" s="746"/>
      <c r="O23" s="747"/>
      <c r="P23" s="747"/>
      <c r="Q23" s="747"/>
      <c r="R23" s="747"/>
      <c r="S23" s="747"/>
      <c r="T23" s="747"/>
      <c r="U23" s="748"/>
      <c r="V23" s="748"/>
      <c r="W23" s="748"/>
      <c r="X23" s="748"/>
    </row>
    <row r="24" spans="2:24" hidden="1">
      <c r="B24" s="481"/>
      <c r="C24" s="481"/>
      <c r="D24" s="749"/>
      <c r="E24" s="745"/>
      <c r="F24" s="745"/>
      <c r="G24" s="745"/>
      <c r="H24" s="745"/>
      <c r="I24" s="745"/>
      <c r="J24" s="745"/>
      <c r="K24" s="745"/>
      <c r="L24" s="745"/>
      <c r="M24" s="745"/>
    </row>
    <row r="25" spans="2:24" hidden="1">
      <c r="D25" s="2341"/>
      <c r="E25" s="2341"/>
      <c r="F25" s="2341"/>
      <c r="G25" s="2341"/>
      <c r="H25" s="2341"/>
      <c r="I25" s="2341"/>
      <c r="J25" s="2341"/>
      <c r="K25" s="2341"/>
      <c r="L25" s="2341"/>
      <c r="M25" s="2341"/>
      <c r="N25" s="703"/>
    </row>
    <row r="26" spans="2:24">
      <c r="D26" s="750" t="s">
        <v>9</v>
      </c>
    </row>
    <row r="27" spans="2:24">
      <c r="D27" s="700" t="s">
        <v>2179</v>
      </c>
    </row>
    <row r="28" spans="2:24">
      <c r="D28" s="700" t="s">
        <v>725</v>
      </c>
    </row>
    <row r="29" spans="2:24">
      <c r="D29" s="700" t="s">
        <v>726</v>
      </c>
    </row>
  </sheetData>
  <sheetProtection formatColumns="0" formatRows="0" insertHyperlinks="0"/>
  <mergeCells count="25">
    <mergeCell ref="V6:V8"/>
    <mergeCell ref="W6:X7"/>
    <mergeCell ref="D25:M25"/>
    <mergeCell ref="P6:P8"/>
    <mergeCell ref="Q6:Q8"/>
    <mergeCell ref="R6:R8"/>
    <mergeCell ref="S6:S8"/>
    <mergeCell ref="T6:T8"/>
    <mergeCell ref="U6:U8"/>
    <mergeCell ref="J6:J8"/>
    <mergeCell ref="K6:K8"/>
    <mergeCell ref="L6:L8"/>
    <mergeCell ref="M6:M8"/>
    <mergeCell ref="N6:N8"/>
    <mergeCell ref="O6:O8"/>
    <mergeCell ref="A1:C1"/>
    <mergeCell ref="B4:T4"/>
    <mergeCell ref="B6:B8"/>
    <mergeCell ref="C6:C8"/>
    <mergeCell ref="D6:D8"/>
    <mergeCell ref="E6:E8"/>
    <mergeCell ref="F6:F8"/>
    <mergeCell ref="G6:G8"/>
    <mergeCell ref="H6:H8"/>
    <mergeCell ref="I6:I8"/>
  </mergeCells>
  <dataValidations count="1">
    <dataValidation type="list" allowBlank="1" showInputMessage="1" showErrorMessage="1" sqref="C10:C19">
      <formula1>$G$1:$G$2</formula1>
    </dataValidation>
  </dataValidations>
  <hyperlinks>
    <hyperlink ref="D2" location="'Перечень форм для заполнения'!A1" display="Перечень форм"/>
    <hyperlink ref="A1" location="'Перечень форм для заполнения'!A1" display="Вернуться к перечню форм"/>
    <hyperlink ref="C20" location="'15 (лизинг ЭСХ-план)'!A1" display="Добавить"/>
  </hyperlinks>
  <pageMargins left="0.70866141732283472" right="0.2" top="0.74803149606299213" bottom="0.74803149606299213" header="0.31496062992125984" footer="0.31496062992125984"/>
  <pageSetup paperSize="9" scale="3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theme="9"/>
  </sheetPr>
  <dimension ref="A1:T19"/>
  <sheetViews>
    <sheetView showGridLines="0" zoomScale="70" zoomScaleNormal="70" workbookViewId="0">
      <selection activeCell="H52" sqref="H52"/>
    </sheetView>
  </sheetViews>
  <sheetFormatPr defaultRowHeight="12.75"/>
  <cols>
    <col min="1" max="1" width="67.85546875" customWidth="1"/>
    <col min="2" max="2" width="18.42578125" customWidth="1"/>
    <col min="4" max="4" width="9.85546875" customWidth="1"/>
    <col min="20" max="20" width="27.42578125" customWidth="1"/>
  </cols>
  <sheetData>
    <row r="1" spans="1:20">
      <c r="A1" s="1" t="s">
        <v>0</v>
      </c>
      <c r="B1" s="2" t="s">
        <v>1</v>
      </c>
    </row>
    <row r="2" spans="1:20" ht="18.75">
      <c r="A2" s="3" t="s">
        <v>2</v>
      </c>
      <c r="B2" s="4"/>
      <c r="C2" s="4"/>
      <c r="D2" s="4"/>
      <c r="E2" s="4"/>
      <c r="F2" s="4"/>
      <c r="G2" s="4"/>
      <c r="H2" s="4"/>
      <c r="I2" s="4"/>
      <c r="J2" s="4"/>
      <c r="K2" s="4"/>
      <c r="L2" s="4"/>
      <c r="M2" s="4"/>
      <c r="N2" s="4"/>
      <c r="O2" s="4"/>
      <c r="P2" s="4"/>
      <c r="Q2" s="4"/>
      <c r="R2" s="4"/>
      <c r="S2" s="4"/>
      <c r="T2" s="4"/>
    </row>
    <row r="3" spans="1:20" ht="18.75" hidden="1">
      <c r="A3" s="5"/>
      <c r="B3" s="5"/>
      <c r="C3" s="5"/>
      <c r="D3" s="5"/>
      <c r="E3" s="5"/>
      <c r="F3" s="5"/>
      <c r="G3" s="5"/>
      <c r="H3" s="5"/>
      <c r="I3" s="5"/>
      <c r="J3" s="4"/>
      <c r="K3" s="4"/>
      <c r="L3" s="4"/>
      <c r="M3" s="4"/>
      <c r="N3" s="4"/>
      <c r="O3" s="4"/>
      <c r="P3" s="4"/>
      <c r="Q3" s="4"/>
      <c r="R3" s="4"/>
      <c r="S3" s="4"/>
      <c r="T3" s="4"/>
    </row>
    <row r="4" spans="1:20" ht="18.75" hidden="1">
      <c r="C4" s="5"/>
      <c r="D4" s="5"/>
      <c r="E4" s="5"/>
      <c r="F4" s="5"/>
      <c r="G4" s="5"/>
      <c r="H4" s="5"/>
      <c r="I4" s="5"/>
      <c r="J4" s="4"/>
      <c r="K4" s="4"/>
      <c r="L4" s="4"/>
      <c r="M4" s="4"/>
      <c r="N4" s="4"/>
      <c r="O4" s="4"/>
      <c r="P4" s="4"/>
      <c r="Q4" s="4"/>
      <c r="R4" s="4"/>
      <c r="S4" s="4"/>
      <c r="T4" s="4"/>
    </row>
    <row r="5" spans="1:20" ht="18.75">
      <c r="A5" s="6"/>
      <c r="B5" s="6"/>
      <c r="C5" s="6"/>
      <c r="D5" s="6"/>
      <c r="E5" s="6"/>
      <c r="F5" s="6"/>
      <c r="G5" s="6"/>
      <c r="H5" s="6"/>
      <c r="I5" s="6"/>
      <c r="J5" s="4"/>
      <c r="K5" s="4"/>
      <c r="L5" s="4"/>
      <c r="M5" s="4"/>
      <c r="N5" s="4"/>
      <c r="O5" s="4"/>
      <c r="P5" s="4"/>
      <c r="Q5" s="4"/>
      <c r="R5" s="4"/>
      <c r="S5" s="4"/>
      <c r="T5" s="4"/>
    </row>
    <row r="6" spans="1:20" ht="18.75">
      <c r="A6" s="7"/>
      <c r="B6" s="8" t="s">
        <v>3</v>
      </c>
      <c r="C6" s="4"/>
      <c r="D6" s="4"/>
      <c r="E6" s="4"/>
      <c r="F6" s="4"/>
      <c r="G6" s="4"/>
      <c r="H6" s="4"/>
      <c r="I6" s="4"/>
      <c r="J6" s="4"/>
      <c r="K6" s="4"/>
      <c r="L6" s="4"/>
      <c r="M6" s="4"/>
      <c r="N6" s="4"/>
      <c r="O6" s="4"/>
      <c r="P6" s="4"/>
      <c r="Q6" s="4"/>
      <c r="R6" s="4"/>
      <c r="S6" s="4"/>
      <c r="T6" s="4"/>
    </row>
    <row r="7" spans="1:20" ht="18.75">
      <c r="A7" s="9"/>
      <c r="B7" s="8" t="s">
        <v>4</v>
      </c>
      <c r="C7" s="4"/>
      <c r="D7" s="4"/>
      <c r="E7" s="4"/>
      <c r="F7" s="4"/>
      <c r="G7" s="4"/>
      <c r="H7" s="4"/>
      <c r="I7" s="4"/>
      <c r="J7" s="4"/>
      <c r="K7" s="4"/>
      <c r="L7" s="4"/>
      <c r="M7" s="4"/>
      <c r="N7" s="4"/>
      <c r="O7" s="4"/>
      <c r="P7" s="4"/>
      <c r="Q7" s="4"/>
      <c r="R7" s="4"/>
      <c r="S7" s="4"/>
      <c r="T7" s="4"/>
    </row>
    <row r="8" spans="1:20" ht="18.75">
      <c r="A8" s="10"/>
      <c r="B8" s="8" t="s">
        <v>5</v>
      </c>
      <c r="C8" s="4"/>
      <c r="D8" s="4"/>
      <c r="E8" s="4"/>
      <c r="F8" s="4"/>
      <c r="G8" s="4"/>
      <c r="H8" s="4"/>
      <c r="I8" s="4"/>
      <c r="J8" s="4"/>
      <c r="K8" s="4"/>
      <c r="L8" s="4"/>
      <c r="M8" s="4"/>
      <c r="N8" s="4"/>
      <c r="O8" s="4"/>
      <c r="P8" s="4"/>
      <c r="Q8" s="4"/>
      <c r="R8" s="4"/>
      <c r="S8" s="4"/>
      <c r="T8" s="4"/>
    </row>
    <row r="9" spans="1:20" ht="18.75">
      <c r="A9" s="11"/>
      <c r="B9" s="8" t="s">
        <v>6</v>
      </c>
      <c r="C9" s="4"/>
      <c r="D9" s="4"/>
      <c r="E9" s="4"/>
      <c r="F9" s="4"/>
      <c r="G9" s="4"/>
      <c r="H9" s="4"/>
      <c r="I9" s="4"/>
      <c r="J9" s="4"/>
      <c r="K9" s="4"/>
      <c r="L9" s="4"/>
      <c r="M9" s="4"/>
      <c r="N9" s="4"/>
      <c r="O9" s="4"/>
      <c r="P9" s="4"/>
      <c r="Q9" s="4"/>
      <c r="R9" s="4"/>
      <c r="S9" s="4"/>
      <c r="T9" s="4"/>
    </row>
    <row r="10" spans="1:20" ht="18.75">
      <c r="A10" s="12" t="s">
        <v>7</v>
      </c>
      <c r="B10" s="8" t="s">
        <v>8</v>
      </c>
      <c r="C10" s="4"/>
      <c r="D10" s="4"/>
      <c r="E10" s="4"/>
      <c r="F10" s="4"/>
      <c r="G10" s="4"/>
      <c r="H10" s="4"/>
      <c r="I10" s="4"/>
      <c r="J10" s="4"/>
      <c r="K10" s="4"/>
      <c r="L10" s="4"/>
      <c r="M10" s="4"/>
      <c r="N10" s="4"/>
      <c r="O10" s="4"/>
      <c r="P10" s="4"/>
      <c r="Q10" s="4"/>
      <c r="R10" s="4"/>
      <c r="S10" s="4"/>
      <c r="T10" s="4"/>
    </row>
    <row r="17" spans="1:2">
      <c r="A17" t="s">
        <v>9</v>
      </c>
    </row>
    <row r="19" spans="1:2" ht="65.45" customHeight="1">
      <c r="A19" s="2173" t="s">
        <v>10</v>
      </c>
      <c r="B19" s="2174"/>
    </row>
  </sheetData>
  <sheetProtection formatColumns="0" formatRows="0" insertHyperlinks="0"/>
  <mergeCells count="1">
    <mergeCell ref="A19:B1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Лист2.loadData">
                <anchor moveWithCells="1" sizeWithCells="1">
                  <from>
                    <xdr:col>0</xdr:col>
                    <xdr:colOff>9525</xdr:colOff>
                    <xdr:row>12</xdr:row>
                    <xdr:rowOff>0</xdr:rowOff>
                  </from>
                  <to>
                    <xdr:col>0</xdr:col>
                    <xdr:colOff>2771775</xdr:colOff>
                    <xdr:row>14</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92D050"/>
    <pageSetUpPr fitToPage="1"/>
  </sheetPr>
  <dimension ref="A1:AG68"/>
  <sheetViews>
    <sheetView showGridLines="0" zoomScale="80" zoomScaleNormal="80" zoomScaleSheetLayoutView="85" workbookViewId="0">
      <pane xSplit="3" topLeftCell="D1" activePane="topRight" state="frozen"/>
      <selection activeCell="F44" sqref="F44"/>
      <selection pane="topRight" activeCell="AK13" sqref="AK13"/>
    </sheetView>
  </sheetViews>
  <sheetFormatPr defaultColWidth="9.140625" defaultRowHeight="12.75" outlineLevelCol="1"/>
  <cols>
    <col min="1" max="1" width="3.7109375" style="751" customWidth="1"/>
    <col min="2" max="2" width="6.5703125" style="751" customWidth="1"/>
    <col min="3" max="3" width="32.28515625" style="751" customWidth="1"/>
    <col min="4" max="4" width="11.85546875" style="751" customWidth="1"/>
    <col min="5" max="5" width="14.85546875" style="751" customWidth="1"/>
    <col min="6" max="6" width="13.42578125" style="751" customWidth="1"/>
    <col min="7" max="7" width="12.42578125" style="751" customWidth="1"/>
    <col min="8" max="8" width="15.42578125" style="751" customWidth="1"/>
    <col min="9" max="10" width="19.7109375" style="751" customWidth="1"/>
    <col min="11" max="11" width="15.28515625" style="751" customWidth="1"/>
    <col min="12" max="12" width="21.85546875" style="751" customWidth="1"/>
    <col min="13" max="13" width="22.5703125" style="751" customWidth="1"/>
    <col min="14" max="14" width="26" style="751" customWidth="1"/>
    <col min="15" max="22" width="19.140625" style="751" customWidth="1"/>
    <col min="23" max="23" width="26.85546875" style="751" customWidth="1"/>
    <col min="24" max="24" width="18.7109375" style="212" customWidth="1"/>
    <col min="25" max="25" width="15" style="212" customWidth="1"/>
    <col min="26" max="26" width="13.42578125" style="751" bestFit="1" customWidth="1"/>
    <col min="27" max="27" width="13.42578125" style="751" hidden="1" customWidth="1" outlineLevel="1"/>
    <col min="28" max="31" width="11.42578125" style="751" hidden="1" customWidth="1" outlineLevel="1"/>
    <col min="32" max="32" width="15.28515625" style="751" hidden="1" customWidth="1" outlineLevel="1"/>
    <col min="33" max="33" width="9.140625" style="751" collapsed="1"/>
    <col min="34" max="16384" width="9.140625" style="751"/>
  </cols>
  <sheetData>
    <row r="1" spans="1:32">
      <c r="A1" s="2379" t="s">
        <v>210</v>
      </c>
      <c r="B1" s="2379"/>
      <c r="C1" s="2379"/>
    </row>
    <row r="2" spans="1:32" ht="18.75">
      <c r="C2" s="752"/>
    </row>
    <row r="3" spans="1:32">
      <c r="E3" s="753"/>
      <c r="F3" s="753"/>
      <c r="G3" s="753"/>
      <c r="H3" s="753"/>
      <c r="I3" s="753"/>
      <c r="J3" s="753"/>
      <c r="K3" s="753"/>
      <c r="L3" s="753"/>
      <c r="M3" s="753"/>
    </row>
    <row r="4" spans="1:32" s="754" customFormat="1">
      <c r="B4" s="755"/>
      <c r="C4" s="755"/>
      <c r="D4" s="755"/>
      <c r="E4" s="756"/>
      <c r="F4" s="756"/>
      <c r="G4" s="756"/>
      <c r="H4" s="756"/>
      <c r="I4" s="756"/>
      <c r="J4" s="756"/>
      <c r="K4" s="756"/>
      <c r="L4" s="756"/>
      <c r="M4" s="756"/>
      <c r="N4" s="756"/>
      <c r="O4" s="756"/>
      <c r="P4" s="756"/>
      <c r="Q4" s="756"/>
      <c r="R4" s="756"/>
      <c r="S4" s="756"/>
      <c r="T4" s="756"/>
      <c r="U4" s="756"/>
      <c r="V4" s="756"/>
      <c r="X4" s="212"/>
      <c r="Y4" s="212"/>
    </row>
    <row r="5" spans="1:32" s="631" customFormat="1">
      <c r="E5" s="2393"/>
      <c r="F5" s="2393"/>
      <c r="G5" s="2393"/>
      <c r="X5" s="212"/>
      <c r="Y5" s="212"/>
    </row>
    <row r="6" spans="1:32" s="637" customFormat="1" ht="22.9" customHeight="1">
      <c r="B6" s="2370" t="str">
        <f>"Форма для представления сведений по аренде прочего имущества за "&amp;'0. Анкета'!C15-2&amp;" год, участвующего в деятельности по передаче электрической энергии"</f>
        <v>Форма для представления сведений по аренде прочего имущества за 2022 год, участвующего в деятельности по передаче электрической энергии</v>
      </c>
      <c r="C6" s="2370"/>
      <c r="D6" s="2370"/>
      <c r="E6" s="2370"/>
      <c r="F6" s="2370"/>
      <c r="G6" s="2370"/>
      <c r="H6" s="2370"/>
      <c r="I6" s="2370"/>
      <c r="J6" s="2370"/>
      <c r="K6" s="2370"/>
      <c r="L6" s="2370"/>
      <c r="M6" s="2370"/>
      <c r="N6" s="2370"/>
      <c r="O6" s="2370"/>
      <c r="P6" s="2370"/>
      <c r="Q6" s="2370"/>
      <c r="R6" s="2370"/>
      <c r="S6" s="2370"/>
      <c r="T6" s="2370"/>
      <c r="U6" s="2370"/>
      <c r="V6" s="2370"/>
      <c r="W6" s="2370"/>
      <c r="X6" s="212"/>
      <c r="Y6" s="212"/>
    </row>
    <row r="7" spans="1:32" s="637" customFormat="1" ht="13.15" customHeight="1">
      <c r="B7" s="638"/>
      <c r="C7" s="638"/>
      <c r="D7" s="638"/>
      <c r="E7" s="638"/>
      <c r="F7" s="640"/>
      <c r="G7" s="639"/>
      <c r="H7" s="638"/>
      <c r="I7" s="640"/>
      <c r="J7" s="640"/>
      <c r="K7" s="640"/>
      <c r="L7" s="640"/>
      <c r="M7" s="640"/>
      <c r="N7" s="640"/>
      <c r="O7" s="640"/>
      <c r="P7" s="640"/>
      <c r="Q7" s="640"/>
      <c r="R7" s="640"/>
      <c r="S7" s="640"/>
      <c r="T7" s="640"/>
      <c r="U7" s="640"/>
      <c r="V7" s="640"/>
      <c r="X7" s="212"/>
      <c r="Y7" s="212"/>
    </row>
    <row r="8" spans="1:32" s="757" customFormat="1" ht="41.65" customHeight="1">
      <c r="B8" s="2394" t="s">
        <v>12</v>
      </c>
      <c r="C8" s="2394" t="s">
        <v>748</v>
      </c>
      <c r="D8" s="2394" t="s">
        <v>749</v>
      </c>
      <c r="E8" s="2394" t="s">
        <v>555</v>
      </c>
      <c r="F8" s="2394" t="s">
        <v>750</v>
      </c>
      <c r="G8" s="2394" t="s">
        <v>692</v>
      </c>
      <c r="H8" s="2394" t="s">
        <v>693</v>
      </c>
      <c r="I8" s="2380" t="s">
        <v>691</v>
      </c>
      <c r="J8" s="2394" t="s">
        <v>751</v>
      </c>
      <c r="K8" s="2394" t="s">
        <v>752</v>
      </c>
      <c r="L8" s="2394" t="s">
        <v>753</v>
      </c>
      <c r="M8" s="2394" t="str">
        <f>"Величина арендной платы за пользование прочим имуществом на "&amp;'0. Анкета'!C15-2&amp;" год, утверждено,тыс. руб."</f>
        <v>Величина арендной платы за пользование прочим имуществом на 2022 год, утверждено,тыс. руб.</v>
      </c>
      <c r="N8" s="2401" t="str">
        <f>"Величина арендной платы за владение и (или) пользование прочим имуществом за "&amp;'0. Анкета'!C15-2&amp;" год, тыс. руб. (без НДС)"</f>
        <v>Величина арендной платы за владение и (или) пользование прочим имуществом за 2022 год, тыс. руб. (без НДС)</v>
      </c>
      <c r="O8" s="2402"/>
      <c r="P8" s="2402"/>
      <c r="Q8" s="2402"/>
      <c r="R8" s="2402"/>
      <c r="S8" s="2402"/>
      <c r="T8" s="2402"/>
      <c r="U8" s="2402"/>
      <c r="V8" s="2402"/>
      <c r="W8" s="2402"/>
      <c r="X8" s="2402"/>
      <c r="Y8" s="2403"/>
      <c r="Z8" s="2395" t="s">
        <v>737</v>
      </c>
      <c r="AA8" s="2398" t="s">
        <v>2222</v>
      </c>
      <c r="AB8" s="2399"/>
      <c r="AC8" s="2399"/>
      <c r="AD8" s="2399"/>
      <c r="AE8" s="2400"/>
      <c r="AF8" s="2395" t="s">
        <v>2223</v>
      </c>
    </row>
    <row r="9" spans="1:32" s="757" customFormat="1" ht="26.45" customHeight="1">
      <c r="B9" s="2394"/>
      <c r="C9" s="2394"/>
      <c r="D9" s="2394"/>
      <c r="E9" s="2394"/>
      <c r="F9" s="2394"/>
      <c r="G9" s="2394"/>
      <c r="H9" s="2394"/>
      <c r="I9" s="2381"/>
      <c r="J9" s="2394"/>
      <c r="K9" s="2394"/>
      <c r="L9" s="2394"/>
      <c r="M9" s="2394"/>
      <c r="N9" s="2394" t="str">
        <f>'0. Анкета'!C15-2&amp;" факт (отражен в отчете об исполнении сметы расходов)"</f>
        <v>2022 факт (отражен в отчете об исполнении сметы расходов)</v>
      </c>
      <c r="O9" s="2395" t="str">
        <f>'0. Анкета'!C15-2&amp;" факт, подтвержденный первичными документами (договоры/акты и пр.)"</f>
        <v>2022 факт, подтвержденный первичными документами (договоры/акты и пр.)</v>
      </c>
      <c r="P9" s="2360" t="str">
        <f>'0. Анкета'!C15-2&amp;" факт, подтвержденный  бухгалтерскими документами (оборотно-сальдовые ведомости, карточки счетов)"</f>
        <v>2022 факт, подтвержденный  бухгалтерскими документами (оборотно-сальдовые ведомости, карточки счетов)</v>
      </c>
      <c r="Q9" s="2361"/>
      <c r="R9" s="2361"/>
      <c r="S9" s="2361"/>
      <c r="T9" s="2361"/>
      <c r="U9" s="2362"/>
      <c r="V9" s="2343" t="s">
        <v>700</v>
      </c>
      <c r="W9" s="2343"/>
      <c r="X9" s="2343"/>
      <c r="Y9" s="2343"/>
      <c r="Z9" s="2396"/>
      <c r="AA9" s="2395" t="s">
        <v>754</v>
      </c>
      <c r="AB9" s="2343" t="s">
        <v>700</v>
      </c>
      <c r="AC9" s="2343"/>
      <c r="AD9" s="2343"/>
      <c r="AE9" s="2343"/>
      <c r="AF9" s="2396"/>
    </row>
    <row r="10" spans="1:32" s="757" customFormat="1" ht="76.150000000000006" customHeight="1">
      <c r="B10" s="2394"/>
      <c r="C10" s="2394"/>
      <c r="D10" s="2394"/>
      <c r="E10" s="2394"/>
      <c r="F10" s="2394"/>
      <c r="G10" s="2394"/>
      <c r="H10" s="2394"/>
      <c r="I10" s="2382"/>
      <c r="J10" s="2394"/>
      <c r="K10" s="2394"/>
      <c r="L10" s="2394"/>
      <c r="M10" s="2394"/>
      <c r="N10" s="2394"/>
      <c r="O10" s="2397"/>
      <c r="P10" s="758" t="s">
        <v>172</v>
      </c>
      <c r="Q10" s="758" t="s">
        <v>413</v>
      </c>
      <c r="R10" s="758" t="s">
        <v>414</v>
      </c>
      <c r="S10" s="758" t="s">
        <v>415</v>
      </c>
      <c r="T10" s="758" t="s">
        <v>416</v>
      </c>
      <c r="U10" s="758" t="s">
        <v>415</v>
      </c>
      <c r="V10" s="758" t="s">
        <v>172</v>
      </c>
      <c r="W10" s="758" t="s">
        <v>755</v>
      </c>
      <c r="X10" s="758" t="s">
        <v>756</v>
      </c>
      <c r="Y10" s="758" t="s">
        <v>711</v>
      </c>
      <c r="Z10" s="2397"/>
      <c r="AA10" s="2397"/>
      <c r="AB10" s="758" t="s">
        <v>172</v>
      </c>
      <c r="AC10" s="758" t="s">
        <v>755</v>
      </c>
      <c r="AD10" s="758" t="s">
        <v>756</v>
      </c>
      <c r="AE10" s="758" t="s">
        <v>711</v>
      </c>
      <c r="AF10" s="2397"/>
    </row>
    <row r="11" spans="1:32" s="757" customFormat="1" ht="12">
      <c r="B11" s="759">
        <v>1</v>
      </c>
      <c r="C11" s="759">
        <f>B11+1</f>
        <v>2</v>
      </c>
      <c r="D11" s="759">
        <f t="shared" ref="D11:Z11" si="0">C11+1</f>
        <v>3</v>
      </c>
      <c r="E11" s="759">
        <f t="shared" si="0"/>
        <v>4</v>
      </c>
      <c r="F11" s="759">
        <f t="shared" si="0"/>
        <v>5</v>
      </c>
      <c r="G11" s="759">
        <f t="shared" si="0"/>
        <v>6</v>
      </c>
      <c r="H11" s="759">
        <f t="shared" si="0"/>
        <v>7</v>
      </c>
      <c r="I11" s="760">
        <f t="shared" si="0"/>
        <v>8</v>
      </c>
      <c r="J11" s="760">
        <f t="shared" si="0"/>
        <v>9</v>
      </c>
      <c r="K11" s="759">
        <f>J11+1</f>
        <v>10</v>
      </c>
      <c r="L11" s="759">
        <f t="shared" si="0"/>
        <v>11</v>
      </c>
      <c r="M11" s="759">
        <f t="shared" si="0"/>
        <v>12</v>
      </c>
      <c r="N11" s="759">
        <f t="shared" si="0"/>
        <v>13</v>
      </c>
      <c r="O11" s="759">
        <f t="shared" si="0"/>
        <v>14</v>
      </c>
      <c r="P11" s="759">
        <f t="shared" si="0"/>
        <v>15</v>
      </c>
      <c r="Q11" s="759">
        <f t="shared" si="0"/>
        <v>16</v>
      </c>
      <c r="R11" s="759">
        <f t="shared" si="0"/>
        <v>17</v>
      </c>
      <c r="S11" s="759">
        <v>18</v>
      </c>
      <c r="T11" s="759">
        <v>19</v>
      </c>
      <c r="U11" s="759">
        <v>20</v>
      </c>
      <c r="V11" s="759">
        <f t="shared" si="0"/>
        <v>21</v>
      </c>
      <c r="W11" s="759">
        <f t="shared" si="0"/>
        <v>22</v>
      </c>
      <c r="X11" s="759">
        <f t="shared" si="0"/>
        <v>23</v>
      </c>
      <c r="Y11" s="759">
        <f t="shared" si="0"/>
        <v>24</v>
      </c>
      <c r="Z11" s="759">
        <f t="shared" si="0"/>
        <v>25</v>
      </c>
      <c r="AA11" s="759"/>
      <c r="AB11" s="759">
        <f>Z11+1</f>
        <v>26</v>
      </c>
      <c r="AC11" s="759">
        <f>AB11+1</f>
        <v>27</v>
      </c>
      <c r="AD11" s="759">
        <f>AC11+1</f>
        <v>28</v>
      </c>
      <c r="AE11" s="759">
        <f>AD11+1</f>
        <v>29</v>
      </c>
      <c r="AF11" s="759">
        <f>AE11+1</f>
        <v>30</v>
      </c>
    </row>
    <row r="12" spans="1:32" ht="24">
      <c r="B12" s="761" t="s">
        <v>234</v>
      </c>
      <c r="C12" s="762" t="s">
        <v>757</v>
      </c>
      <c r="D12" s="763"/>
      <c r="E12" s="763"/>
      <c r="F12" s="763"/>
      <c r="G12" s="764"/>
      <c r="H12" s="764"/>
      <c r="I12" s="764"/>
      <c r="J12" s="763"/>
      <c r="K12" s="765">
        <f>SUM(K13,K17)</f>
        <v>0</v>
      </c>
      <c r="L12" s="763"/>
      <c r="M12" s="766"/>
      <c r="N12" s="765">
        <f>SUM(N13,N17)</f>
        <v>0</v>
      </c>
      <c r="O12" s="765">
        <f>SUM(O13,O17)</f>
        <v>0</v>
      </c>
      <c r="P12" s="765">
        <f>SUM(P13,P17)</f>
        <v>0</v>
      </c>
      <c r="Q12" s="765">
        <f>SUM(Q13,Q17)</f>
        <v>0</v>
      </c>
      <c r="R12" s="765">
        <f>SUM(R13,R17)</f>
        <v>0</v>
      </c>
      <c r="S12" s="767"/>
      <c r="T12" s="765">
        <f>SUM(T13,T17)</f>
        <v>0</v>
      </c>
      <c r="U12" s="767"/>
      <c r="V12" s="765">
        <f>SUM(V13,V17)</f>
        <v>0</v>
      </c>
      <c r="W12" s="765">
        <f>SUM(W13,W17)</f>
        <v>0</v>
      </c>
      <c r="X12" s="765">
        <f>SUM(X13,X17)</f>
        <v>0</v>
      </c>
      <c r="Y12" s="765">
        <f>SUM(Y13,Y17)</f>
        <v>0</v>
      </c>
      <c r="Z12" s="768"/>
      <c r="AA12" s="765">
        <f>SUM(AA13,AA17)</f>
        <v>0</v>
      </c>
      <c r="AB12" s="765">
        <f>SUM(AB13,AB17)</f>
        <v>0</v>
      </c>
      <c r="AC12" s="765">
        <f>SUM(AC13,AC17)</f>
        <v>0</v>
      </c>
      <c r="AD12" s="765">
        <f>SUM(AD13,AD17)</f>
        <v>0</v>
      </c>
      <c r="AE12" s="765">
        <f>SUM(AE13,AE17)</f>
        <v>0</v>
      </c>
      <c r="AF12" s="768"/>
    </row>
    <row r="13" spans="1:32" ht="12">
      <c r="B13" s="769" t="s">
        <v>267</v>
      </c>
      <c r="C13" s="770" t="s">
        <v>758</v>
      </c>
      <c r="D13" s="771"/>
      <c r="E13" s="771"/>
      <c r="F13" s="771"/>
      <c r="G13" s="772"/>
      <c r="H13" s="772"/>
      <c r="I13" s="772"/>
      <c r="J13" s="771"/>
      <c r="K13" s="773">
        <f>SUM(K14:K16)</f>
        <v>0</v>
      </c>
      <c r="L13" s="771"/>
      <c r="M13" s="766"/>
      <c r="N13" s="773">
        <f>SUM(N14:N16)</f>
        <v>0</v>
      </c>
      <c r="O13" s="773">
        <f>SUM(O14:O16)</f>
        <v>0</v>
      </c>
      <c r="P13" s="765">
        <f>SUM(Q13:R13)+T13</f>
        <v>0</v>
      </c>
      <c r="Q13" s="774"/>
      <c r="R13" s="774"/>
      <c r="S13" s="767"/>
      <c r="T13" s="774"/>
      <c r="U13" s="767"/>
      <c r="V13" s="773">
        <f>SUM(V14:V16)</f>
        <v>0</v>
      </c>
      <c r="W13" s="773">
        <f>SUM(W14:W16)</f>
        <v>0</v>
      </c>
      <c r="X13" s="773">
        <f>SUM(X14:X16)</f>
        <v>0</v>
      </c>
      <c r="Y13" s="773">
        <f>SUM(Y14:Y16)</f>
        <v>0</v>
      </c>
      <c r="Z13" s="768"/>
      <c r="AA13" s="773">
        <f>SUM(AA14:AA16)</f>
        <v>0</v>
      </c>
      <c r="AB13" s="773">
        <f>SUM(AB14:AB16)</f>
        <v>0</v>
      </c>
      <c r="AC13" s="773">
        <f>SUM(AC14:AC16)</f>
        <v>0</v>
      </c>
      <c r="AD13" s="773">
        <f>SUM(AD14:AD16)</f>
        <v>0</v>
      </c>
      <c r="AE13" s="773">
        <f>SUM(AE14:AE16)</f>
        <v>0</v>
      </c>
      <c r="AF13" s="768"/>
    </row>
    <row r="14" spans="1:32" ht="12">
      <c r="B14" s="775" t="str">
        <f>CONCATENATE(B$13,"",ROW()-ROW(B$13))</f>
        <v>1.1.1</v>
      </c>
      <c r="C14" s="766"/>
      <c r="D14" s="766"/>
      <c r="E14" s="766"/>
      <c r="F14" s="766"/>
      <c r="G14" s="776"/>
      <c r="H14" s="776"/>
      <c r="I14" s="776"/>
      <c r="J14" s="766"/>
      <c r="K14" s="777"/>
      <c r="L14" s="766"/>
      <c r="M14" s="778"/>
      <c r="N14" s="766"/>
      <c r="O14" s="766"/>
      <c r="P14" s="778"/>
      <c r="Q14" s="778"/>
      <c r="R14" s="778"/>
      <c r="S14" s="779"/>
      <c r="T14" s="778"/>
      <c r="U14" s="779"/>
      <c r="V14" s="773">
        <f>SUM(W14:Y14)</f>
        <v>0</v>
      </c>
      <c r="W14" s="766"/>
      <c r="X14" s="766"/>
      <c r="Y14" s="766"/>
      <c r="Z14" s="768"/>
      <c r="AA14" s="768"/>
      <c r="AB14" s="773">
        <f>SUM(AC14:AE14)</f>
        <v>0</v>
      </c>
      <c r="AC14" s="766"/>
      <c r="AD14" s="766"/>
      <c r="AE14" s="766"/>
      <c r="AF14" s="768"/>
    </row>
    <row r="15" spans="1:32" ht="12">
      <c r="B15" s="775" t="str">
        <f>CONCATENATE(B$13,"",ROW()-ROW(B$13))</f>
        <v>1.1.2</v>
      </c>
      <c r="C15" s="766"/>
      <c r="D15" s="766"/>
      <c r="E15" s="766"/>
      <c r="F15" s="766"/>
      <c r="G15" s="776"/>
      <c r="H15" s="776"/>
      <c r="I15" s="776"/>
      <c r="J15" s="766"/>
      <c r="K15" s="777"/>
      <c r="L15" s="766"/>
      <c r="M15" s="778"/>
      <c r="N15" s="766"/>
      <c r="O15" s="766"/>
      <c r="P15" s="778"/>
      <c r="Q15" s="778"/>
      <c r="R15" s="778"/>
      <c r="S15" s="779"/>
      <c r="T15" s="778"/>
      <c r="U15" s="779"/>
      <c r="V15" s="773">
        <f>SUM(W15:Y15)</f>
        <v>0</v>
      </c>
      <c r="W15" s="766"/>
      <c r="X15" s="766"/>
      <c r="Y15" s="766"/>
      <c r="Z15" s="768"/>
      <c r="AA15" s="768"/>
      <c r="AB15" s="773">
        <f>SUM(AC15:AE15)</f>
        <v>0</v>
      </c>
      <c r="AC15" s="766"/>
      <c r="AD15" s="766"/>
      <c r="AE15" s="766"/>
      <c r="AF15" s="768"/>
    </row>
    <row r="16" spans="1:32">
      <c r="B16" s="780"/>
      <c r="C16" s="473" t="s">
        <v>7</v>
      </c>
      <c r="D16" s="780"/>
      <c r="E16" s="780"/>
      <c r="F16" s="781"/>
      <c r="G16" s="781"/>
      <c r="H16" s="781"/>
      <c r="I16" s="781"/>
      <c r="J16" s="781"/>
      <c r="K16" s="781"/>
      <c r="L16" s="781"/>
      <c r="M16" s="781"/>
      <c r="N16" s="782"/>
      <c r="O16" s="782"/>
      <c r="P16" s="783"/>
      <c r="Q16" s="783"/>
      <c r="R16" s="783"/>
      <c r="S16" s="784"/>
      <c r="T16" s="783"/>
      <c r="U16" s="784"/>
      <c r="V16" s="782"/>
      <c r="W16" s="782"/>
      <c r="X16" s="782"/>
      <c r="Y16" s="782"/>
      <c r="Z16" s="785"/>
      <c r="AA16" s="785"/>
      <c r="AB16" s="782"/>
      <c r="AC16" s="782"/>
      <c r="AD16" s="782"/>
      <c r="AE16" s="782"/>
      <c r="AF16" s="785"/>
    </row>
    <row r="17" spans="2:32" ht="12">
      <c r="B17" s="769" t="s">
        <v>269</v>
      </c>
      <c r="C17" s="770" t="s">
        <v>759</v>
      </c>
      <c r="D17" s="771"/>
      <c r="E17" s="771"/>
      <c r="F17" s="771"/>
      <c r="G17" s="772"/>
      <c r="H17" s="772"/>
      <c r="I17" s="772"/>
      <c r="J17" s="771"/>
      <c r="K17" s="773">
        <f>SUM(K18:K20)</f>
        <v>0</v>
      </c>
      <c r="L17" s="771"/>
      <c r="M17" s="766"/>
      <c r="N17" s="773">
        <f>SUM(N18:N20)</f>
        <v>0</v>
      </c>
      <c r="O17" s="773">
        <f>SUM(O18:O20)</f>
        <v>0</v>
      </c>
      <c r="P17" s="765">
        <f>SUM(Q17:R17)+T17</f>
        <v>0</v>
      </c>
      <c r="Q17" s="774"/>
      <c r="R17" s="774"/>
      <c r="S17" s="767"/>
      <c r="T17" s="774"/>
      <c r="U17" s="767"/>
      <c r="V17" s="773">
        <f>SUM(V18:V20)</f>
        <v>0</v>
      </c>
      <c r="W17" s="773">
        <f>SUM(W18:W20)</f>
        <v>0</v>
      </c>
      <c r="X17" s="773">
        <f>SUM(X18:X20)</f>
        <v>0</v>
      </c>
      <c r="Y17" s="773">
        <f>SUM(Y18:Y20)</f>
        <v>0</v>
      </c>
      <c r="Z17" s="768"/>
      <c r="AA17" s="773">
        <f>SUM(AA18:AA20)</f>
        <v>0</v>
      </c>
      <c r="AB17" s="773">
        <f>SUM(AB18:AB20)</f>
        <v>0</v>
      </c>
      <c r="AC17" s="773">
        <f>SUM(AC18:AC20)</f>
        <v>0</v>
      </c>
      <c r="AD17" s="773">
        <f>SUM(AD18:AD20)</f>
        <v>0</v>
      </c>
      <c r="AE17" s="773">
        <f>SUM(AE18:AE20)</f>
        <v>0</v>
      </c>
      <c r="AF17" s="768"/>
    </row>
    <row r="18" spans="2:32" ht="12">
      <c r="B18" s="775" t="str">
        <f>CONCATENATE(B$17,"",ROW()-ROW(B$17))</f>
        <v>1.2.1</v>
      </c>
      <c r="C18" s="786"/>
      <c r="D18" s="786"/>
      <c r="E18" s="786"/>
      <c r="F18" s="786"/>
      <c r="G18" s="786"/>
      <c r="H18" s="786"/>
      <c r="I18" s="786"/>
      <c r="J18" s="786"/>
      <c r="K18" s="786"/>
      <c r="L18" s="786"/>
      <c r="M18" s="778"/>
      <c r="N18" s="786"/>
      <c r="O18" s="786"/>
      <c r="P18" s="778"/>
      <c r="Q18" s="778"/>
      <c r="R18" s="778"/>
      <c r="S18" s="779"/>
      <c r="T18" s="778"/>
      <c r="U18" s="779"/>
      <c r="V18" s="773">
        <f>SUM(W18:Y18)</f>
        <v>0</v>
      </c>
      <c r="W18" s="786"/>
      <c r="X18" s="786"/>
      <c r="Y18" s="786"/>
      <c r="Z18" s="787"/>
      <c r="AA18" s="768"/>
      <c r="AB18" s="773">
        <f>SUM(AC18:AE18)</f>
        <v>0</v>
      </c>
      <c r="AC18" s="766"/>
      <c r="AD18" s="766"/>
      <c r="AE18" s="766"/>
      <c r="AF18" s="768"/>
    </row>
    <row r="19" spans="2:32" ht="12">
      <c r="B19" s="775" t="str">
        <f>CONCATENATE(B$17,"",ROW()-ROW(B$17))</f>
        <v>1.2.2</v>
      </c>
      <c r="C19" s="766"/>
      <c r="D19" s="766"/>
      <c r="E19" s="766"/>
      <c r="F19" s="766"/>
      <c r="G19" s="766"/>
      <c r="H19" s="766"/>
      <c r="I19" s="766"/>
      <c r="J19" s="766"/>
      <c r="K19" s="766"/>
      <c r="L19" s="766"/>
      <c r="M19" s="778"/>
      <c r="N19" s="766"/>
      <c r="O19" s="766"/>
      <c r="P19" s="778"/>
      <c r="Q19" s="778"/>
      <c r="R19" s="778"/>
      <c r="S19" s="779"/>
      <c r="T19" s="778"/>
      <c r="U19" s="779"/>
      <c r="V19" s="773">
        <f>SUM(W19:Y19)</f>
        <v>0</v>
      </c>
      <c r="W19" s="766"/>
      <c r="X19" s="766"/>
      <c r="Y19" s="766"/>
      <c r="Z19" s="768"/>
      <c r="AA19" s="768"/>
      <c r="AB19" s="773">
        <f>SUM(AC19:AE19)</f>
        <v>0</v>
      </c>
      <c r="AC19" s="766"/>
      <c r="AD19" s="766"/>
      <c r="AE19" s="766"/>
      <c r="AF19" s="768"/>
    </row>
    <row r="20" spans="2:32">
      <c r="B20" s="780"/>
      <c r="C20" s="473" t="s">
        <v>7</v>
      </c>
      <c r="D20" s="780"/>
      <c r="E20" s="780"/>
      <c r="F20" s="781"/>
      <c r="G20" s="781"/>
      <c r="H20" s="781"/>
      <c r="I20" s="781"/>
      <c r="J20" s="781"/>
      <c r="K20" s="781"/>
      <c r="L20" s="781"/>
      <c r="M20" s="781"/>
      <c r="N20" s="782"/>
      <c r="O20" s="782"/>
      <c r="P20" s="783"/>
      <c r="Q20" s="783"/>
      <c r="R20" s="783"/>
      <c r="S20" s="784"/>
      <c r="T20" s="783"/>
      <c r="U20" s="784"/>
      <c r="V20" s="782"/>
      <c r="W20" s="782"/>
      <c r="X20" s="782"/>
      <c r="Y20" s="782"/>
      <c r="Z20" s="785"/>
      <c r="AA20" s="785"/>
      <c r="AB20" s="782"/>
      <c r="AC20" s="782"/>
      <c r="AD20" s="782"/>
      <c r="AE20" s="782"/>
      <c r="AF20" s="785"/>
    </row>
    <row r="21" spans="2:32" ht="24">
      <c r="B21" s="761" t="s">
        <v>237</v>
      </c>
      <c r="C21" s="762" t="s">
        <v>760</v>
      </c>
      <c r="D21" s="763"/>
      <c r="E21" s="763"/>
      <c r="F21" s="763"/>
      <c r="G21" s="764"/>
      <c r="H21" s="764"/>
      <c r="I21" s="764"/>
      <c r="J21" s="763"/>
      <c r="K21" s="788"/>
      <c r="L21" s="763"/>
      <c r="M21" s="766"/>
      <c r="N21" s="765">
        <f>SUM(N22:N24)</f>
        <v>0</v>
      </c>
      <c r="O21" s="765">
        <f>SUM(O22:O24)</f>
        <v>0</v>
      </c>
      <c r="P21" s="765">
        <f>SUM(Q21:R21)+T21</f>
        <v>0</v>
      </c>
      <c r="Q21" s="774"/>
      <c r="R21" s="774"/>
      <c r="S21" s="767"/>
      <c r="T21" s="774"/>
      <c r="U21" s="767"/>
      <c r="V21" s="789">
        <f>SUM(V22:V24)</f>
        <v>0</v>
      </c>
      <c r="W21" s="789">
        <f>SUM(W22:W24)</f>
        <v>0</v>
      </c>
      <c r="X21" s="789">
        <f>SUM(X22:X24)</f>
        <v>0</v>
      </c>
      <c r="Y21" s="789">
        <f>SUM(Y22:Y24)</f>
        <v>0</v>
      </c>
      <c r="Z21" s="768"/>
      <c r="AA21" s="789">
        <f>SUM(AA22:AA24)</f>
        <v>0</v>
      </c>
      <c r="AB21" s="789">
        <f>SUM(AB22:AB24)</f>
        <v>0</v>
      </c>
      <c r="AC21" s="789">
        <f>SUM(AC22:AC24)</f>
        <v>0</v>
      </c>
      <c r="AD21" s="789">
        <f>SUM(AD22:AD24)</f>
        <v>0</v>
      </c>
      <c r="AE21" s="789">
        <f>SUM(AE22:AE24)</f>
        <v>0</v>
      </c>
      <c r="AF21" s="768"/>
    </row>
    <row r="22" spans="2:32" ht="12">
      <c r="B22" s="775" t="str">
        <f>CONCATENATE(B$21,"",ROW()-ROW(B$21))</f>
        <v>2.1</v>
      </c>
      <c r="C22" s="766"/>
      <c r="D22" s="766"/>
      <c r="E22" s="766"/>
      <c r="F22" s="766"/>
      <c r="G22" s="766"/>
      <c r="H22" s="766"/>
      <c r="I22" s="766"/>
      <c r="J22" s="766"/>
      <c r="K22" s="790"/>
      <c r="L22" s="766"/>
      <c r="M22" s="778"/>
      <c r="N22" s="766"/>
      <c r="O22" s="766"/>
      <c r="P22" s="778"/>
      <c r="Q22" s="778"/>
      <c r="R22" s="778"/>
      <c r="S22" s="779"/>
      <c r="T22" s="778"/>
      <c r="U22" s="779"/>
      <c r="V22" s="791">
        <f>SUM(W22:Y22)</f>
        <v>0</v>
      </c>
      <c r="W22" s="766"/>
      <c r="X22" s="766"/>
      <c r="Y22" s="766"/>
      <c r="Z22" s="768"/>
      <c r="AA22" s="768"/>
      <c r="AB22" s="791">
        <f>SUM(AC22:AE22)</f>
        <v>0</v>
      </c>
      <c r="AC22" s="766"/>
      <c r="AD22" s="766"/>
      <c r="AE22" s="766"/>
      <c r="AF22" s="768"/>
    </row>
    <row r="23" spans="2:32" ht="12">
      <c r="B23" s="775" t="str">
        <f>CONCATENATE(B$21,"",ROW()-ROW(B$21))</f>
        <v>2.2</v>
      </c>
      <c r="C23" s="766"/>
      <c r="D23" s="766"/>
      <c r="E23" s="766"/>
      <c r="F23" s="766"/>
      <c r="G23" s="766"/>
      <c r="H23" s="766"/>
      <c r="I23" s="766"/>
      <c r="J23" s="766"/>
      <c r="K23" s="790"/>
      <c r="L23" s="766"/>
      <c r="M23" s="778"/>
      <c r="N23" s="766"/>
      <c r="O23" s="766"/>
      <c r="P23" s="778"/>
      <c r="Q23" s="778"/>
      <c r="R23" s="778"/>
      <c r="S23" s="779"/>
      <c r="T23" s="778"/>
      <c r="U23" s="779"/>
      <c r="V23" s="791">
        <f>SUM(W23:Y23)</f>
        <v>0</v>
      </c>
      <c r="W23" s="766"/>
      <c r="X23" s="766"/>
      <c r="Y23" s="766"/>
      <c r="Z23" s="768"/>
      <c r="AA23" s="768"/>
      <c r="AB23" s="791">
        <f>SUM(AC23:AE23)</f>
        <v>0</v>
      </c>
      <c r="AC23" s="766"/>
      <c r="AD23" s="766"/>
      <c r="AE23" s="766"/>
      <c r="AF23" s="768"/>
    </row>
    <row r="24" spans="2:32">
      <c r="B24" s="780"/>
      <c r="C24" s="473" t="s">
        <v>7</v>
      </c>
      <c r="D24" s="780"/>
      <c r="E24" s="780"/>
      <c r="F24" s="781"/>
      <c r="G24" s="781"/>
      <c r="H24" s="781"/>
      <c r="I24" s="781"/>
      <c r="J24" s="781"/>
      <c r="K24" s="781"/>
      <c r="L24" s="781"/>
      <c r="M24" s="781"/>
      <c r="N24" s="782"/>
      <c r="O24" s="782"/>
      <c r="P24" s="783"/>
      <c r="Q24" s="783"/>
      <c r="R24" s="783"/>
      <c r="S24" s="784"/>
      <c r="T24" s="783"/>
      <c r="U24" s="784"/>
      <c r="V24" s="782"/>
      <c r="W24" s="782"/>
      <c r="X24" s="782"/>
      <c r="Y24" s="782"/>
      <c r="Z24" s="785"/>
      <c r="AA24" s="785"/>
      <c r="AB24" s="782"/>
      <c r="AC24" s="782"/>
      <c r="AD24" s="782"/>
      <c r="AE24" s="782"/>
      <c r="AF24" s="785"/>
    </row>
    <row r="25" spans="2:32" ht="12">
      <c r="B25" s="761" t="s">
        <v>239</v>
      </c>
      <c r="C25" s="762" t="s">
        <v>761</v>
      </c>
      <c r="D25" s="763"/>
      <c r="E25" s="763"/>
      <c r="F25" s="763"/>
      <c r="G25" s="764"/>
      <c r="H25" s="764"/>
      <c r="I25" s="764"/>
      <c r="J25" s="763"/>
      <c r="K25" s="788"/>
      <c r="L25" s="763"/>
      <c r="M25" s="766"/>
      <c r="N25" s="765">
        <f>SUM(N26:N28)</f>
        <v>0</v>
      </c>
      <c r="O25" s="765">
        <f>SUM(O26:O28)</f>
        <v>0</v>
      </c>
      <c r="P25" s="765">
        <f>SUM(Q25:R25)+T25</f>
        <v>0</v>
      </c>
      <c r="Q25" s="774"/>
      <c r="R25" s="774"/>
      <c r="S25" s="767"/>
      <c r="T25" s="774"/>
      <c r="U25" s="767"/>
      <c r="V25" s="789">
        <f>SUM(V26:V28)</f>
        <v>0</v>
      </c>
      <c r="W25" s="789">
        <f>SUM(W26:W28)</f>
        <v>0</v>
      </c>
      <c r="X25" s="789">
        <f>SUM(X26:X28)</f>
        <v>0</v>
      </c>
      <c r="Y25" s="789">
        <f>SUM(Y26:Y28)</f>
        <v>0</v>
      </c>
      <c r="Z25" s="768"/>
      <c r="AA25" s="789">
        <f>SUM(AA26:AA28)</f>
        <v>0</v>
      </c>
      <c r="AB25" s="789">
        <f>SUM(AB26:AB28)</f>
        <v>0</v>
      </c>
      <c r="AC25" s="789">
        <f>SUM(AC26:AC28)</f>
        <v>0</v>
      </c>
      <c r="AD25" s="789">
        <f>SUM(AD26:AD28)</f>
        <v>0</v>
      </c>
      <c r="AE25" s="789">
        <f>SUM(AE26:AE28)</f>
        <v>0</v>
      </c>
      <c r="AF25" s="768"/>
    </row>
    <row r="26" spans="2:32" ht="12">
      <c r="B26" s="775" t="str">
        <f>CONCATENATE(B$25,"",ROW()-ROW(B$25))</f>
        <v>3.1</v>
      </c>
      <c r="C26" s="766"/>
      <c r="D26" s="766"/>
      <c r="E26" s="766"/>
      <c r="F26" s="766"/>
      <c r="G26" s="766"/>
      <c r="H26" s="766"/>
      <c r="I26" s="766"/>
      <c r="J26" s="766"/>
      <c r="K26" s="790"/>
      <c r="L26" s="766"/>
      <c r="M26" s="778"/>
      <c r="N26" s="766"/>
      <c r="O26" s="766"/>
      <c r="P26" s="778"/>
      <c r="Q26" s="778"/>
      <c r="R26" s="778"/>
      <c r="S26" s="779"/>
      <c r="T26" s="778"/>
      <c r="U26" s="779"/>
      <c r="V26" s="791">
        <f>SUM(W26:Y26)</f>
        <v>0</v>
      </c>
      <c r="W26" s="766"/>
      <c r="X26" s="766"/>
      <c r="Y26" s="766"/>
      <c r="Z26" s="768"/>
      <c r="AA26" s="768"/>
      <c r="AB26" s="791">
        <f>SUM(AC26:AE26)</f>
        <v>0</v>
      </c>
      <c r="AC26" s="766"/>
      <c r="AD26" s="766"/>
      <c r="AE26" s="766"/>
      <c r="AF26" s="768"/>
    </row>
    <row r="27" spans="2:32" ht="12">
      <c r="B27" s="775" t="str">
        <f>CONCATENATE(B$25,"",ROW()-ROW(B$25))</f>
        <v>3.2</v>
      </c>
      <c r="C27" s="766"/>
      <c r="D27" s="766"/>
      <c r="E27" s="766"/>
      <c r="F27" s="766"/>
      <c r="G27" s="766"/>
      <c r="H27" s="766"/>
      <c r="I27" s="766"/>
      <c r="J27" s="766"/>
      <c r="K27" s="790"/>
      <c r="L27" s="766"/>
      <c r="M27" s="778"/>
      <c r="N27" s="766"/>
      <c r="O27" s="766"/>
      <c r="P27" s="778"/>
      <c r="Q27" s="778"/>
      <c r="R27" s="778"/>
      <c r="S27" s="779"/>
      <c r="T27" s="778"/>
      <c r="U27" s="779"/>
      <c r="V27" s="791">
        <f>SUM(W27:Y27)</f>
        <v>0</v>
      </c>
      <c r="W27" s="766"/>
      <c r="X27" s="766"/>
      <c r="Y27" s="766"/>
      <c r="Z27" s="768"/>
      <c r="AA27" s="768"/>
      <c r="AB27" s="791">
        <f>SUM(AC27:AE27)</f>
        <v>0</v>
      </c>
      <c r="AC27" s="766"/>
      <c r="AD27" s="766"/>
      <c r="AE27" s="766"/>
      <c r="AF27" s="768"/>
    </row>
    <row r="28" spans="2:32">
      <c r="B28" s="780"/>
      <c r="C28" s="473" t="s">
        <v>7</v>
      </c>
      <c r="D28" s="780"/>
      <c r="E28" s="780"/>
      <c r="F28" s="781"/>
      <c r="G28" s="781"/>
      <c r="H28" s="781"/>
      <c r="I28" s="781"/>
      <c r="J28" s="781"/>
      <c r="K28" s="781"/>
      <c r="L28" s="781"/>
      <c r="M28" s="781"/>
      <c r="N28" s="782"/>
      <c r="O28" s="782"/>
      <c r="P28" s="783"/>
      <c r="Q28" s="783"/>
      <c r="R28" s="783"/>
      <c r="S28" s="784"/>
      <c r="T28" s="783"/>
      <c r="U28" s="784"/>
      <c r="V28" s="782"/>
      <c r="W28" s="782"/>
      <c r="X28" s="782"/>
      <c r="Y28" s="782"/>
      <c r="Z28" s="785"/>
      <c r="AA28" s="785"/>
      <c r="AB28" s="782"/>
      <c r="AC28" s="782"/>
      <c r="AD28" s="782"/>
      <c r="AE28" s="782"/>
      <c r="AF28" s="785"/>
    </row>
    <row r="29" spans="2:32" ht="12">
      <c r="B29" s="758"/>
      <c r="C29" s="792" t="s">
        <v>497</v>
      </c>
      <c r="D29" s="758"/>
      <c r="E29" s="758"/>
      <c r="F29" s="758"/>
      <c r="G29" s="758"/>
      <c r="H29" s="758"/>
      <c r="I29" s="758"/>
      <c r="J29" s="758"/>
      <c r="K29" s="793">
        <f>K12</f>
        <v>0</v>
      </c>
      <c r="L29" s="758"/>
      <c r="M29" s="766"/>
      <c r="N29" s="793">
        <f>N12+N21+N25</f>
        <v>0</v>
      </c>
      <c r="O29" s="793">
        <f>O12+O21+O25</f>
        <v>0</v>
      </c>
      <c r="P29" s="793">
        <f>P12+P21+P25</f>
        <v>0</v>
      </c>
      <c r="Q29" s="793">
        <f>Q12+Q21+Q25</f>
        <v>0</v>
      </c>
      <c r="R29" s="793">
        <f>R12+R21+R25</f>
        <v>0</v>
      </c>
      <c r="S29" s="767"/>
      <c r="T29" s="793">
        <f>T12+T21+T25</f>
        <v>0</v>
      </c>
      <c r="U29" s="767"/>
      <c r="V29" s="793">
        <f>V12+V21+V25</f>
        <v>0</v>
      </c>
      <c r="W29" s="793">
        <f>W12+W21+W25</f>
        <v>0</v>
      </c>
      <c r="X29" s="793">
        <f>X12+X21+X25</f>
        <v>0</v>
      </c>
      <c r="Y29" s="793">
        <f>Y12+Y21+Y25</f>
        <v>0</v>
      </c>
      <c r="Z29" s="794"/>
      <c r="AA29" s="793">
        <f>AA12+AA21+AA25</f>
        <v>0</v>
      </c>
      <c r="AB29" s="793">
        <f>AB12+AB21+AB25</f>
        <v>0</v>
      </c>
      <c r="AC29" s="793">
        <f>AC12+AC21+AC25</f>
        <v>0</v>
      </c>
      <c r="AD29" s="793">
        <f>AD12+AD21+AD25</f>
        <v>0</v>
      </c>
      <c r="AE29" s="793">
        <f>AE12+AE21+AE25</f>
        <v>0</v>
      </c>
      <c r="AF29" s="794"/>
    </row>
    <row r="31" spans="2:32" ht="13.15" customHeight="1">
      <c r="B31" s="481"/>
      <c r="C31" s="481"/>
      <c r="D31" s="481"/>
      <c r="E31" s="481"/>
      <c r="F31" s="481"/>
    </row>
    <row r="33" spans="2:28">
      <c r="L33" s="795"/>
      <c r="M33" s="795"/>
    </row>
    <row r="34" spans="2:28" ht="22.9" customHeight="1">
      <c r="B34" s="2370" t="str">
        <f>"Форма для представления сведений по лизингу прочего имущества за "&amp;'0. Анкета'!C15-2&amp;" год, участвующего в деятельности по передаче электрической энергии"</f>
        <v>Форма для представления сведений по лизингу прочего имущества за 2022 год, участвующего в деятельности по передаче электрической энергии</v>
      </c>
      <c r="C34" s="2370"/>
      <c r="D34" s="2370"/>
      <c r="E34" s="2370"/>
      <c r="F34" s="2370"/>
      <c r="G34" s="2370"/>
      <c r="H34" s="2370"/>
      <c r="I34" s="2370"/>
      <c r="J34" s="2370"/>
      <c r="K34" s="2370"/>
      <c r="L34" s="2370"/>
      <c r="M34" s="2370"/>
      <c r="N34" s="2370"/>
      <c r="O34" s="2370"/>
      <c r="P34" s="2370"/>
      <c r="Q34" s="2370"/>
      <c r="R34" s="2370"/>
      <c r="S34" s="2370"/>
      <c r="T34" s="2370"/>
      <c r="U34" s="2370"/>
      <c r="V34" s="2370"/>
      <c r="W34" s="2370"/>
      <c r="AA34" s="637"/>
    </row>
    <row r="35" spans="2:28" ht="12.75" customHeight="1">
      <c r="B35" s="638"/>
      <c r="C35" s="638"/>
      <c r="D35" s="638"/>
      <c r="E35" s="638"/>
      <c r="F35" s="640"/>
      <c r="G35" s="639"/>
      <c r="H35" s="638"/>
      <c r="I35" s="640"/>
      <c r="J35" s="640"/>
      <c r="K35" s="640"/>
      <c r="L35" s="640"/>
      <c r="M35" s="640"/>
      <c r="N35" s="640"/>
      <c r="O35" s="640"/>
      <c r="P35" s="640"/>
      <c r="Q35" s="640"/>
      <c r="R35" s="640"/>
      <c r="S35" s="640"/>
      <c r="T35" s="640"/>
      <c r="U35" s="640"/>
      <c r="V35" s="640"/>
      <c r="W35" s="637"/>
      <c r="AA35" s="2394" t="s">
        <v>2224</v>
      </c>
      <c r="AB35" s="2398" t="s">
        <v>2220</v>
      </c>
    </row>
    <row r="36" spans="2:28" ht="45.6" customHeight="1">
      <c r="B36" s="2406" t="s">
        <v>12</v>
      </c>
      <c r="C36" s="2406" t="s">
        <v>748</v>
      </c>
      <c r="D36" s="2407" t="s">
        <v>730</v>
      </c>
      <c r="E36" s="2406" t="s">
        <v>749</v>
      </c>
      <c r="F36" s="2406" t="s">
        <v>731</v>
      </c>
      <c r="G36" s="2406" t="s">
        <v>762</v>
      </c>
      <c r="H36" s="2406" t="s">
        <v>692</v>
      </c>
      <c r="I36" s="2406" t="s">
        <v>693</v>
      </c>
      <c r="J36" s="2380" t="s">
        <v>691</v>
      </c>
      <c r="K36" s="2394" t="s">
        <v>751</v>
      </c>
      <c r="L36" s="2394" t="s">
        <v>752</v>
      </c>
      <c r="M36" s="2406" t="s">
        <v>753</v>
      </c>
      <c r="N36" s="2406" t="s">
        <v>2180</v>
      </c>
      <c r="O36" s="2401" t="str">
        <f>"Сумма лизинговых платежей по прочему имуществуза "&amp;'0. Анкета'!C15-2&amp;" год, тыс. руб. (без НДС)"</f>
        <v>Сумма лизинговых платежей по прочему имуществуза 2022 год, тыс. руб. (без НДС)</v>
      </c>
      <c r="P36" s="2402"/>
      <c r="Q36" s="2402"/>
      <c r="R36" s="2402"/>
      <c r="S36" s="2402"/>
      <c r="T36" s="2402"/>
      <c r="U36" s="2402"/>
      <c r="V36" s="2403"/>
      <c r="W36" s="2394" t="s">
        <v>737</v>
      </c>
      <c r="Z36" s="212"/>
      <c r="AA36" s="2394"/>
      <c r="AB36" s="2404"/>
    </row>
    <row r="37" spans="2:28" ht="31.9" customHeight="1">
      <c r="B37" s="2406"/>
      <c r="C37" s="2406"/>
      <c r="D37" s="2408"/>
      <c r="E37" s="2406"/>
      <c r="F37" s="2406"/>
      <c r="G37" s="2406"/>
      <c r="H37" s="2406"/>
      <c r="I37" s="2406"/>
      <c r="J37" s="2381"/>
      <c r="K37" s="2394"/>
      <c r="L37" s="2394"/>
      <c r="M37" s="2406"/>
      <c r="N37" s="2406"/>
      <c r="O37" s="2394" t="str">
        <f>'0. Анкета'!C15-2&amp;" факт (отражен в отчете об исполнении сметы расходов)"</f>
        <v>2022 факт (отражен в отчете об исполнении сметы расходов)</v>
      </c>
      <c r="P37" s="2395" t="str">
        <f>'0. Анкета'!C15-2&amp;" факт, подтвержденный первичными документами (договоры/акты и пр.)"</f>
        <v>2022 факт, подтвержденный первичными документами (договоры/акты и пр.)</v>
      </c>
      <c r="Q37" s="2360" t="str">
        <f>'0. Анкета'!C15-2&amp;" факт, подтвержденный  бухгалтерскими документами (оборотно-сальдовые ведомости, карточки счетов)"</f>
        <v>2022 факт, подтвержденный  бухгалтерскими документами (оборотно-сальдовые ведомости, карточки счетов)</v>
      </c>
      <c r="R37" s="2361"/>
      <c r="S37" s="2361"/>
      <c r="T37" s="2361"/>
      <c r="U37" s="2361"/>
      <c r="V37" s="2362"/>
      <c r="W37" s="2394"/>
      <c r="Z37" s="212"/>
      <c r="AA37" s="2394"/>
      <c r="AB37" s="2404"/>
    </row>
    <row r="38" spans="2:28" ht="60">
      <c r="B38" s="2406"/>
      <c r="C38" s="2406"/>
      <c r="D38" s="2409"/>
      <c r="E38" s="2406"/>
      <c r="F38" s="2406"/>
      <c r="G38" s="2406"/>
      <c r="H38" s="2406"/>
      <c r="I38" s="2406"/>
      <c r="J38" s="2382"/>
      <c r="K38" s="2394"/>
      <c r="L38" s="2394"/>
      <c r="M38" s="2406"/>
      <c r="N38" s="2406"/>
      <c r="O38" s="2394"/>
      <c r="P38" s="2397"/>
      <c r="Q38" s="758" t="s">
        <v>172</v>
      </c>
      <c r="R38" s="758" t="s">
        <v>413</v>
      </c>
      <c r="S38" s="758" t="s">
        <v>414</v>
      </c>
      <c r="T38" s="758" t="s">
        <v>415</v>
      </c>
      <c r="U38" s="758" t="s">
        <v>416</v>
      </c>
      <c r="V38" s="758" t="s">
        <v>415</v>
      </c>
      <c r="W38" s="2394"/>
      <c r="Z38" s="212"/>
      <c r="AA38" s="2394"/>
      <c r="AB38" s="2405"/>
    </row>
    <row r="39" spans="2:28" ht="12">
      <c r="B39" s="760">
        <v>1</v>
      </c>
      <c r="C39" s="760">
        <f>B39+1</f>
        <v>2</v>
      </c>
      <c r="D39" s="760">
        <f t="shared" ref="D39:W39" si="1">C39+1</f>
        <v>3</v>
      </c>
      <c r="E39" s="760">
        <f t="shared" si="1"/>
        <v>4</v>
      </c>
      <c r="F39" s="760">
        <f t="shared" si="1"/>
        <v>5</v>
      </c>
      <c r="G39" s="760">
        <f t="shared" si="1"/>
        <v>6</v>
      </c>
      <c r="H39" s="760">
        <f t="shared" si="1"/>
        <v>7</v>
      </c>
      <c r="I39" s="760">
        <f t="shared" si="1"/>
        <v>8</v>
      </c>
      <c r="J39" s="760">
        <f t="shared" si="1"/>
        <v>9</v>
      </c>
      <c r="K39" s="760">
        <f t="shared" si="1"/>
        <v>10</v>
      </c>
      <c r="L39" s="760">
        <f t="shared" si="1"/>
        <v>11</v>
      </c>
      <c r="M39" s="760">
        <f t="shared" si="1"/>
        <v>12</v>
      </c>
      <c r="N39" s="760">
        <f t="shared" si="1"/>
        <v>13</v>
      </c>
      <c r="O39" s="760">
        <f t="shared" si="1"/>
        <v>14</v>
      </c>
      <c r="P39" s="760">
        <f t="shared" si="1"/>
        <v>15</v>
      </c>
      <c r="Q39" s="760">
        <f t="shared" si="1"/>
        <v>16</v>
      </c>
      <c r="R39" s="760">
        <f t="shared" si="1"/>
        <v>17</v>
      </c>
      <c r="S39" s="760">
        <f t="shared" si="1"/>
        <v>18</v>
      </c>
      <c r="T39" s="760">
        <v>19</v>
      </c>
      <c r="U39" s="760">
        <v>20</v>
      </c>
      <c r="V39" s="760">
        <v>21</v>
      </c>
      <c r="W39" s="760">
        <f t="shared" si="1"/>
        <v>22</v>
      </c>
      <c r="X39" s="796"/>
      <c r="Y39" s="796"/>
      <c r="Z39" s="796"/>
      <c r="AA39" s="760">
        <f>W39+1</f>
        <v>23</v>
      </c>
      <c r="AB39" s="760">
        <f>AA39+1</f>
        <v>24</v>
      </c>
    </row>
    <row r="40" spans="2:28" ht="24">
      <c r="B40" s="761" t="s">
        <v>234</v>
      </c>
      <c r="C40" s="762" t="s">
        <v>763</v>
      </c>
      <c r="D40" s="797"/>
      <c r="E40" s="763"/>
      <c r="F40" s="763"/>
      <c r="G40" s="763"/>
      <c r="H40" s="764"/>
      <c r="I40" s="764"/>
      <c r="J40" s="764"/>
      <c r="K40" s="763"/>
      <c r="L40" s="765">
        <f>SUM(L41,L45)</f>
        <v>0</v>
      </c>
      <c r="M40" s="763"/>
      <c r="N40" s="798"/>
      <c r="O40" s="765">
        <f>SUM(O41,O45)</f>
        <v>0</v>
      </c>
      <c r="P40" s="765">
        <f>SUM(P41,P45)</f>
        <v>0</v>
      </c>
      <c r="Q40" s="765">
        <f>SUM(Q41,Q45)</f>
        <v>0</v>
      </c>
      <c r="R40" s="765">
        <f>SUM(R41,R45)</f>
        <v>0</v>
      </c>
      <c r="S40" s="765">
        <f>SUM(S41,S45)</f>
        <v>0</v>
      </c>
      <c r="T40" s="799"/>
      <c r="U40" s="765">
        <f>SUM(U41,U45)</f>
        <v>0</v>
      </c>
      <c r="V40" s="799"/>
      <c r="W40" s="768"/>
      <c r="X40" s="796"/>
      <c r="Y40" s="796"/>
      <c r="Z40" s="796"/>
      <c r="AA40" s="765">
        <f>SUM(AA41,AA45)</f>
        <v>0</v>
      </c>
      <c r="AB40" s="768"/>
    </row>
    <row r="41" spans="2:28" ht="12">
      <c r="B41" s="769" t="s">
        <v>267</v>
      </c>
      <c r="C41" s="770" t="s">
        <v>758</v>
      </c>
      <c r="D41" s="688"/>
      <c r="E41" s="771"/>
      <c r="F41" s="771"/>
      <c r="G41" s="771"/>
      <c r="H41" s="772"/>
      <c r="I41" s="772"/>
      <c r="J41" s="772"/>
      <c r="K41" s="771"/>
      <c r="L41" s="773">
        <f>SUM(L42:L44)</f>
        <v>0</v>
      </c>
      <c r="M41" s="771"/>
      <c r="N41" s="798"/>
      <c r="O41" s="773">
        <f>SUM(O42:O44)</f>
        <v>0</v>
      </c>
      <c r="P41" s="773">
        <f>SUM(P42:P44)</f>
        <v>0</v>
      </c>
      <c r="Q41" s="765">
        <f>SUM(R41:S41)+U41</f>
        <v>0</v>
      </c>
      <c r="R41" s="798"/>
      <c r="S41" s="798"/>
      <c r="T41" s="799"/>
      <c r="U41" s="798"/>
      <c r="V41" s="799"/>
      <c r="W41" s="768"/>
      <c r="X41" s="796"/>
      <c r="Y41" s="796"/>
      <c r="Z41" s="796"/>
      <c r="AA41" s="773">
        <f>SUM(AA42:AA44)</f>
        <v>0</v>
      </c>
      <c r="AB41" s="768"/>
    </row>
    <row r="42" spans="2:28" ht="12">
      <c r="B42" s="775" t="str">
        <f>CONCATENATE(B$41,"",ROW()-ROW(B$41))</f>
        <v>1.1.1</v>
      </c>
      <c r="C42" s="766"/>
      <c r="D42" s="766"/>
      <c r="E42" s="766"/>
      <c r="F42" s="766"/>
      <c r="G42" s="766"/>
      <c r="H42" s="776"/>
      <c r="I42" s="776"/>
      <c r="J42" s="776"/>
      <c r="K42" s="766"/>
      <c r="L42" s="777"/>
      <c r="M42" s="766"/>
      <c r="N42" s="778"/>
      <c r="O42" s="777"/>
      <c r="P42" s="777"/>
      <c r="Q42" s="778"/>
      <c r="R42" s="778"/>
      <c r="S42" s="778"/>
      <c r="T42" s="779"/>
      <c r="U42" s="778"/>
      <c r="V42" s="779"/>
      <c r="W42" s="768"/>
      <c r="X42" s="796"/>
      <c r="Y42" s="796"/>
      <c r="Z42" s="796"/>
      <c r="AA42" s="777"/>
      <c r="AB42" s="768"/>
    </row>
    <row r="43" spans="2:28" ht="12">
      <c r="B43" s="775" t="str">
        <f>CONCATENATE(B$41,"",ROW()-ROW(B$41))</f>
        <v>1.1.2</v>
      </c>
      <c r="C43" s="766"/>
      <c r="D43" s="766"/>
      <c r="E43" s="766"/>
      <c r="F43" s="766"/>
      <c r="G43" s="766"/>
      <c r="H43" s="776"/>
      <c r="I43" s="776"/>
      <c r="J43" s="776"/>
      <c r="K43" s="766"/>
      <c r="L43" s="777"/>
      <c r="M43" s="766"/>
      <c r="N43" s="778"/>
      <c r="O43" s="777"/>
      <c r="P43" s="777"/>
      <c r="Q43" s="778"/>
      <c r="R43" s="778"/>
      <c r="S43" s="778"/>
      <c r="T43" s="779"/>
      <c r="U43" s="778"/>
      <c r="V43" s="779"/>
      <c r="W43" s="768"/>
      <c r="X43" s="796"/>
      <c r="Y43" s="796"/>
      <c r="Z43" s="796"/>
      <c r="AA43" s="777"/>
      <c r="AB43" s="768"/>
    </row>
    <row r="44" spans="2:28">
      <c r="B44" s="780"/>
      <c r="C44" s="473" t="s">
        <v>7</v>
      </c>
      <c r="D44" s="780"/>
      <c r="E44" s="780"/>
      <c r="F44" s="780"/>
      <c r="G44" s="781"/>
      <c r="H44" s="781"/>
      <c r="I44" s="781"/>
      <c r="J44" s="781"/>
      <c r="K44" s="781"/>
      <c r="L44" s="781"/>
      <c r="M44" s="781"/>
      <c r="N44" s="782"/>
      <c r="O44" s="782"/>
      <c r="P44" s="782"/>
      <c r="Q44" s="783"/>
      <c r="R44" s="783"/>
      <c r="S44" s="783"/>
      <c r="T44" s="784"/>
      <c r="U44" s="783"/>
      <c r="V44" s="784"/>
      <c r="W44" s="785"/>
      <c r="X44" s="796"/>
      <c r="Y44" s="796"/>
      <c r="Z44" s="796"/>
      <c r="AA44" s="782"/>
      <c r="AB44" s="785"/>
    </row>
    <row r="45" spans="2:28" ht="12">
      <c r="B45" s="769" t="s">
        <v>269</v>
      </c>
      <c r="C45" s="770" t="s">
        <v>759</v>
      </c>
      <c r="D45" s="688"/>
      <c r="E45" s="771"/>
      <c r="F45" s="771"/>
      <c r="G45" s="771"/>
      <c r="H45" s="772"/>
      <c r="I45" s="772"/>
      <c r="J45" s="772"/>
      <c r="K45" s="771"/>
      <c r="L45" s="773">
        <f>SUM(L46:L48)</f>
        <v>0</v>
      </c>
      <c r="M45" s="771"/>
      <c r="N45" s="798"/>
      <c r="O45" s="773">
        <f>SUM(O46:O48)</f>
        <v>0</v>
      </c>
      <c r="P45" s="773">
        <f>SUM(P46:P48)</f>
        <v>0</v>
      </c>
      <c r="Q45" s="765">
        <f>SUM(R45:S45)+U45</f>
        <v>0</v>
      </c>
      <c r="R45" s="798"/>
      <c r="S45" s="798"/>
      <c r="T45" s="799"/>
      <c r="U45" s="798"/>
      <c r="V45" s="799"/>
      <c r="W45" s="768"/>
      <c r="X45" s="796"/>
      <c r="Y45" s="796"/>
      <c r="Z45" s="796"/>
      <c r="AA45" s="773">
        <f>SUM(AA46:AA48)</f>
        <v>0</v>
      </c>
      <c r="AB45" s="768"/>
    </row>
    <row r="46" spans="2:28" ht="12">
      <c r="B46" s="775" t="str">
        <f>CONCATENATE(B$45,"",ROW()-ROW(B$45))</f>
        <v>1.2.1</v>
      </c>
      <c r="C46" s="766"/>
      <c r="D46" s="766"/>
      <c r="E46" s="766"/>
      <c r="F46" s="766"/>
      <c r="G46" s="766"/>
      <c r="H46" s="776"/>
      <c r="I46" s="776"/>
      <c r="J46" s="776"/>
      <c r="K46" s="766"/>
      <c r="L46" s="777"/>
      <c r="M46" s="766"/>
      <c r="N46" s="778"/>
      <c r="O46" s="777"/>
      <c r="P46" s="777"/>
      <c r="Q46" s="778"/>
      <c r="R46" s="778"/>
      <c r="S46" s="778"/>
      <c r="T46" s="779"/>
      <c r="U46" s="778"/>
      <c r="V46" s="779"/>
      <c r="W46" s="768"/>
      <c r="X46" s="796"/>
      <c r="Y46" s="796"/>
      <c r="Z46" s="796"/>
      <c r="AA46" s="777"/>
      <c r="AB46" s="768"/>
    </row>
    <row r="47" spans="2:28" ht="12">
      <c r="B47" s="775" t="str">
        <f>CONCATENATE(B$45,"",ROW()-ROW(B$45))</f>
        <v>1.2.2</v>
      </c>
      <c r="C47" s="766"/>
      <c r="D47" s="766"/>
      <c r="E47" s="766"/>
      <c r="F47" s="766"/>
      <c r="G47" s="766"/>
      <c r="H47" s="776"/>
      <c r="I47" s="776"/>
      <c r="J47" s="776"/>
      <c r="K47" s="766"/>
      <c r="L47" s="777"/>
      <c r="M47" s="766"/>
      <c r="N47" s="778"/>
      <c r="O47" s="777"/>
      <c r="P47" s="777"/>
      <c r="Q47" s="778"/>
      <c r="R47" s="778"/>
      <c r="S47" s="778"/>
      <c r="T47" s="779"/>
      <c r="U47" s="778"/>
      <c r="V47" s="779"/>
      <c r="W47" s="768"/>
      <c r="X47" s="796"/>
      <c r="Y47" s="796"/>
      <c r="Z47" s="796"/>
      <c r="AA47" s="777"/>
      <c r="AB47" s="768"/>
    </row>
    <row r="48" spans="2:28">
      <c r="B48" s="780"/>
      <c r="C48" s="473" t="s">
        <v>7</v>
      </c>
      <c r="D48" s="780"/>
      <c r="E48" s="780"/>
      <c r="F48" s="780"/>
      <c r="G48" s="781"/>
      <c r="H48" s="781"/>
      <c r="I48" s="781"/>
      <c r="J48" s="781"/>
      <c r="K48" s="781"/>
      <c r="L48" s="781"/>
      <c r="M48" s="781"/>
      <c r="N48" s="782"/>
      <c r="O48" s="782"/>
      <c r="P48" s="782"/>
      <c r="Q48" s="783"/>
      <c r="R48" s="783"/>
      <c r="S48" s="783"/>
      <c r="T48" s="784"/>
      <c r="U48" s="783"/>
      <c r="V48" s="784"/>
      <c r="W48" s="785"/>
      <c r="X48" s="796"/>
      <c r="Y48" s="796"/>
      <c r="Z48" s="796"/>
      <c r="AA48" s="782"/>
      <c r="AB48" s="785"/>
    </row>
    <row r="49" spans="2:28" ht="24">
      <c r="B49" s="761" t="s">
        <v>237</v>
      </c>
      <c r="C49" s="762" t="s">
        <v>764</v>
      </c>
      <c r="D49" s="797"/>
      <c r="E49" s="763"/>
      <c r="F49" s="763"/>
      <c r="G49" s="763"/>
      <c r="H49" s="764"/>
      <c r="I49" s="764"/>
      <c r="J49" s="764"/>
      <c r="K49" s="763"/>
      <c r="L49" s="788"/>
      <c r="M49" s="763"/>
      <c r="N49" s="800"/>
      <c r="O49" s="765">
        <f>SUM(O50:O52)</f>
        <v>0</v>
      </c>
      <c r="P49" s="765">
        <f>SUM(P50:P52)</f>
        <v>0</v>
      </c>
      <c r="Q49" s="765">
        <f>SUM(R49:S49)+U49</f>
        <v>0</v>
      </c>
      <c r="R49" s="798"/>
      <c r="S49" s="798"/>
      <c r="T49" s="799"/>
      <c r="U49" s="798"/>
      <c r="V49" s="799"/>
      <c r="W49" s="768"/>
      <c r="X49" s="796"/>
      <c r="Y49" s="796"/>
      <c r="Z49" s="796"/>
      <c r="AA49" s="765">
        <f>SUM(AA50:AA52)</f>
        <v>0</v>
      </c>
      <c r="AB49" s="768"/>
    </row>
    <row r="50" spans="2:28" ht="12">
      <c r="B50" s="775" t="str">
        <f>CONCATENATE(B$49,"",ROW()-ROW(B$49))</f>
        <v>2.1</v>
      </c>
      <c r="C50" s="766"/>
      <c r="D50" s="766"/>
      <c r="E50" s="766"/>
      <c r="F50" s="766"/>
      <c r="G50" s="766"/>
      <c r="H50" s="776"/>
      <c r="I50" s="776"/>
      <c r="J50" s="776"/>
      <c r="K50" s="766"/>
      <c r="L50" s="790"/>
      <c r="M50" s="766"/>
      <c r="N50" s="778"/>
      <c r="O50" s="777"/>
      <c r="P50" s="777"/>
      <c r="Q50" s="778"/>
      <c r="R50" s="778"/>
      <c r="S50" s="778"/>
      <c r="T50" s="779"/>
      <c r="U50" s="778"/>
      <c r="V50" s="779"/>
      <c r="W50" s="768"/>
      <c r="X50" s="796"/>
      <c r="Y50" s="796"/>
      <c r="Z50" s="796"/>
      <c r="AA50" s="777"/>
      <c r="AB50" s="768"/>
    </row>
    <row r="51" spans="2:28" ht="12">
      <c r="B51" s="775" t="str">
        <f>CONCATENATE(B$49,"",ROW()-ROW(B$49))</f>
        <v>2.2</v>
      </c>
      <c r="C51" s="766"/>
      <c r="D51" s="766"/>
      <c r="E51" s="766"/>
      <c r="F51" s="766"/>
      <c r="G51" s="766"/>
      <c r="H51" s="776"/>
      <c r="I51" s="776"/>
      <c r="J51" s="776"/>
      <c r="K51" s="766"/>
      <c r="L51" s="790"/>
      <c r="M51" s="766"/>
      <c r="N51" s="778"/>
      <c r="O51" s="777"/>
      <c r="P51" s="777"/>
      <c r="Q51" s="778"/>
      <c r="R51" s="778"/>
      <c r="S51" s="778"/>
      <c r="T51" s="779"/>
      <c r="U51" s="778"/>
      <c r="V51" s="779"/>
      <c r="W51" s="768"/>
      <c r="X51" s="796"/>
      <c r="Y51" s="796"/>
      <c r="Z51" s="796"/>
      <c r="AA51" s="777"/>
      <c r="AB51" s="768"/>
    </row>
    <row r="52" spans="2:28">
      <c r="B52" s="780"/>
      <c r="C52" s="473" t="s">
        <v>7</v>
      </c>
      <c r="D52" s="780"/>
      <c r="E52" s="780"/>
      <c r="F52" s="780"/>
      <c r="G52" s="781"/>
      <c r="H52" s="781"/>
      <c r="I52" s="781"/>
      <c r="J52" s="781"/>
      <c r="K52" s="781"/>
      <c r="L52" s="781"/>
      <c r="M52" s="781"/>
      <c r="N52" s="782"/>
      <c r="O52" s="782"/>
      <c r="P52" s="782"/>
      <c r="Q52" s="783"/>
      <c r="R52" s="783"/>
      <c r="S52" s="783"/>
      <c r="T52" s="784"/>
      <c r="U52" s="783"/>
      <c r="V52" s="784"/>
      <c r="W52" s="785"/>
      <c r="X52" s="796"/>
      <c r="Y52" s="796"/>
      <c r="Z52" s="796"/>
      <c r="AA52" s="782"/>
      <c r="AB52" s="785"/>
    </row>
    <row r="53" spans="2:28" ht="12">
      <c r="B53" s="761" t="s">
        <v>239</v>
      </c>
      <c r="C53" s="762" t="s">
        <v>765</v>
      </c>
      <c r="D53" s="797"/>
      <c r="E53" s="763"/>
      <c r="F53" s="763"/>
      <c r="G53" s="763"/>
      <c r="H53" s="764"/>
      <c r="I53" s="764"/>
      <c r="J53" s="764"/>
      <c r="K53" s="763"/>
      <c r="L53" s="788"/>
      <c r="M53" s="763"/>
      <c r="N53" s="800"/>
      <c r="O53" s="765">
        <f>SUM(O54:O56)</f>
        <v>0</v>
      </c>
      <c r="P53" s="765">
        <f>SUM(P54:P56)</f>
        <v>0</v>
      </c>
      <c r="Q53" s="765">
        <f>SUM(R53:S53)+U53</f>
        <v>0</v>
      </c>
      <c r="R53" s="798"/>
      <c r="S53" s="798"/>
      <c r="T53" s="799"/>
      <c r="U53" s="798"/>
      <c r="V53" s="799"/>
      <c r="W53" s="768"/>
      <c r="X53" s="796"/>
      <c r="Y53" s="796"/>
      <c r="Z53" s="796"/>
      <c r="AA53" s="765">
        <f>SUM(AA54:AA56)</f>
        <v>0</v>
      </c>
      <c r="AB53" s="768"/>
    </row>
    <row r="54" spans="2:28" ht="12">
      <c r="B54" s="775" t="str">
        <f>CONCATENATE(B$53,"",ROW()-ROW(B$53))</f>
        <v>3.1</v>
      </c>
      <c r="C54" s="766"/>
      <c r="D54" s="766"/>
      <c r="E54" s="766"/>
      <c r="F54" s="766"/>
      <c r="G54" s="766"/>
      <c r="H54" s="776"/>
      <c r="I54" s="776"/>
      <c r="J54" s="776"/>
      <c r="K54" s="766"/>
      <c r="L54" s="790"/>
      <c r="M54" s="766"/>
      <c r="N54" s="778"/>
      <c r="O54" s="777"/>
      <c r="P54" s="777"/>
      <c r="Q54" s="778"/>
      <c r="R54" s="778"/>
      <c r="S54" s="778"/>
      <c r="T54" s="779"/>
      <c r="U54" s="778"/>
      <c r="V54" s="779"/>
      <c r="W54" s="768"/>
      <c r="X54" s="796"/>
      <c r="Y54" s="796"/>
      <c r="Z54" s="796"/>
      <c r="AA54" s="777"/>
      <c r="AB54" s="768"/>
    </row>
    <row r="55" spans="2:28" ht="12">
      <c r="B55" s="775" t="str">
        <f>CONCATENATE(B$53,"",ROW()-ROW(B$53))</f>
        <v>3.2</v>
      </c>
      <c r="C55" s="766"/>
      <c r="D55" s="766"/>
      <c r="E55" s="766"/>
      <c r="F55" s="766"/>
      <c r="G55" s="766"/>
      <c r="H55" s="776"/>
      <c r="I55" s="776"/>
      <c r="J55" s="776"/>
      <c r="K55" s="766"/>
      <c r="L55" s="790"/>
      <c r="M55" s="766"/>
      <c r="N55" s="778"/>
      <c r="O55" s="777"/>
      <c r="P55" s="777"/>
      <c r="Q55" s="778"/>
      <c r="R55" s="778"/>
      <c r="S55" s="778"/>
      <c r="T55" s="779"/>
      <c r="U55" s="778"/>
      <c r="V55" s="779"/>
      <c r="W55" s="768"/>
      <c r="X55" s="796"/>
      <c r="Y55" s="796"/>
      <c r="Z55" s="796"/>
      <c r="AA55" s="777"/>
      <c r="AB55" s="768"/>
    </row>
    <row r="56" spans="2:28">
      <c r="B56" s="780"/>
      <c r="C56" s="473" t="s">
        <v>7</v>
      </c>
      <c r="D56" s="780"/>
      <c r="E56" s="780"/>
      <c r="F56" s="780"/>
      <c r="G56" s="781"/>
      <c r="H56" s="781"/>
      <c r="I56" s="781"/>
      <c r="J56" s="781"/>
      <c r="K56" s="781"/>
      <c r="L56" s="781"/>
      <c r="M56" s="781"/>
      <c r="N56" s="782"/>
      <c r="O56" s="782"/>
      <c r="P56" s="782"/>
      <c r="Q56" s="783"/>
      <c r="R56" s="783"/>
      <c r="S56" s="783"/>
      <c r="T56" s="784"/>
      <c r="U56" s="783"/>
      <c r="V56" s="784"/>
      <c r="W56" s="785"/>
      <c r="X56" s="796"/>
      <c r="Y56" s="796"/>
      <c r="Z56" s="796"/>
      <c r="AA56" s="782"/>
      <c r="AB56" s="785"/>
    </row>
    <row r="57" spans="2:28" ht="12">
      <c r="B57" s="801"/>
      <c r="C57" s="802" t="s">
        <v>497</v>
      </c>
      <c r="D57" s="801"/>
      <c r="E57" s="758"/>
      <c r="F57" s="758"/>
      <c r="G57" s="758"/>
      <c r="H57" s="758"/>
      <c r="I57" s="758"/>
      <c r="J57" s="758"/>
      <c r="K57" s="758"/>
      <c r="L57" s="793">
        <f>L40</f>
        <v>0</v>
      </c>
      <c r="M57" s="758"/>
      <c r="N57" s="803"/>
      <c r="O57" s="793">
        <f>O40+O49+O53</f>
        <v>0</v>
      </c>
      <c r="P57" s="793">
        <f>P40+P49+P53</f>
        <v>0</v>
      </c>
      <c r="Q57" s="793">
        <f>Q40+Q49+Q53</f>
        <v>0</v>
      </c>
      <c r="R57" s="793">
        <f>R40+R49+R53</f>
        <v>0</v>
      </c>
      <c r="S57" s="793">
        <f>S40+S49+S53</f>
        <v>0</v>
      </c>
      <c r="T57" s="799"/>
      <c r="U57" s="793">
        <f>U40+U49+U53</f>
        <v>0</v>
      </c>
      <c r="V57" s="799"/>
      <c r="W57" s="794"/>
      <c r="X57" s="751"/>
      <c r="Y57" s="751"/>
      <c r="AA57" s="793">
        <f>AA40+AA49+AA53</f>
        <v>0</v>
      </c>
      <c r="AB57" s="794"/>
    </row>
    <row r="59" spans="2:28" ht="13.15" customHeight="1">
      <c r="B59" s="677" t="s">
        <v>9</v>
      </c>
    </row>
    <row r="60" spans="2:28">
      <c r="B60" s="2306"/>
      <c r="C60" s="2306"/>
      <c r="D60" s="2306"/>
      <c r="E60" s="2306"/>
      <c r="F60" s="2306"/>
    </row>
    <row r="61" spans="2:28">
      <c r="B61" s="481" t="s">
        <v>2178</v>
      </c>
      <c r="C61" s="233"/>
      <c r="D61" s="233"/>
      <c r="E61" s="233"/>
      <c r="F61" s="233"/>
    </row>
    <row r="62" spans="2:28">
      <c r="B62" s="481" t="s">
        <v>543</v>
      </c>
      <c r="C62" s="233"/>
      <c r="D62" s="233"/>
      <c r="E62" s="233"/>
      <c r="F62" s="233"/>
    </row>
    <row r="63" spans="2:28">
      <c r="B63" s="481" t="s">
        <v>713</v>
      </c>
      <c r="C63" s="442"/>
      <c r="D63" s="442"/>
      <c r="E63" s="442"/>
      <c r="F63" s="442"/>
    </row>
    <row r="64" spans="2:28" s="212" customFormat="1">
      <c r="B64" s="481" t="s">
        <v>545</v>
      </c>
    </row>
    <row r="65" spans="2:2" s="212" customFormat="1"/>
    <row r="66" spans="2:2" s="212" customFormat="1">
      <c r="B66" s="742"/>
    </row>
    <row r="67" spans="2:2" s="212" customFormat="1"/>
    <row r="68" spans="2:2" s="212" customFormat="1"/>
  </sheetData>
  <sheetProtection formatColumns="0" formatRows="0" insertHyperlinks="0"/>
  <mergeCells count="47">
    <mergeCell ref="N36:N38"/>
    <mergeCell ref="B60:F60"/>
    <mergeCell ref="I36:I38"/>
    <mergeCell ref="J36:J38"/>
    <mergeCell ref="K36:K38"/>
    <mergeCell ref="L36:L38"/>
    <mergeCell ref="B34:W34"/>
    <mergeCell ref="AA35:AA38"/>
    <mergeCell ref="AB35:AB38"/>
    <mergeCell ref="B36:B38"/>
    <mergeCell ref="C36:C38"/>
    <mergeCell ref="D36:D38"/>
    <mergeCell ref="E36:E38"/>
    <mergeCell ref="F36:F38"/>
    <mergeCell ref="G36:G38"/>
    <mergeCell ref="H36:H38"/>
    <mergeCell ref="O36:V36"/>
    <mergeCell ref="W36:W38"/>
    <mergeCell ref="O37:O38"/>
    <mergeCell ref="P37:P38"/>
    <mergeCell ref="Q37:V37"/>
    <mergeCell ref="M36:M38"/>
    <mergeCell ref="Z8:Z10"/>
    <mergeCell ref="AA8:AE8"/>
    <mergeCell ref="AF8:AF10"/>
    <mergeCell ref="N9:N10"/>
    <mergeCell ref="O9:O10"/>
    <mergeCell ref="P9:U9"/>
    <mergeCell ref="V9:Y9"/>
    <mergeCell ref="AA9:AA10"/>
    <mergeCell ref="AB9:AE9"/>
    <mergeCell ref="N8:Y8"/>
    <mergeCell ref="A1:C1"/>
    <mergeCell ref="E5:G5"/>
    <mergeCell ref="B6:W6"/>
    <mergeCell ref="B8:B10"/>
    <mergeCell ref="C8:C10"/>
    <mergeCell ref="D8:D10"/>
    <mergeCell ref="E8:E10"/>
    <mergeCell ref="F8:F10"/>
    <mergeCell ref="G8:G10"/>
    <mergeCell ref="H8:H10"/>
    <mergeCell ref="I8:I10"/>
    <mergeCell ref="J8:J10"/>
    <mergeCell ref="K8:K10"/>
    <mergeCell ref="L8:L10"/>
    <mergeCell ref="M8:M10"/>
  </mergeCells>
  <hyperlinks>
    <hyperlink ref="C2" location="'Перечень форм для заполнения'!A1" display="Перечень форм"/>
    <hyperlink ref="A1" location="'Перечень форм для заполнения'!A1" display="Вернуться к перечню форм"/>
    <hyperlink ref="C28" location="'16 (ар.+лиз. проч. им.-отч пер)'!A1" display="Добавить"/>
    <hyperlink ref="C24" location="'16 (ар.+лиз. проч. им.-отч пер)'!A1" display="Добавить"/>
    <hyperlink ref="C20" location="'16 (ар.+лиз. проч. им.-отч пер)'!A1" display="Добавить"/>
    <hyperlink ref="C16" location="'16 (ар.+лиз. проч. им.-отч пер)'!A1" display="Добавить"/>
    <hyperlink ref="C44" location="'16 (ар.+лиз. проч. им.-отч пер)'!A1" tooltip="Добавить сведения по лизингу" display="Добавить"/>
    <hyperlink ref="C48" location="'16 (ар.+лиз. проч. им.-отч пер)'!A1" tooltip="Добавить сведения по лизингу" display="Добавить"/>
    <hyperlink ref="C52" location="'16 (ар.+лиз. проч. им.-отч пер)'!A1" tooltip="Добавить сведения по лизингу" display="Добавить"/>
    <hyperlink ref="C56" location="'16 (ар.+лиз. проч. им.-отч пер)'!A1" tooltip="Добавить сведения по лизингу" display="Добавить"/>
  </hyperlinks>
  <pageMargins left="0.27559055118110237" right="0.35433070866141736" top="0.43307086614173229" bottom="0.35433070866141736" header="0.31496062992125984" footer="0.19685039370078741"/>
  <pageSetup paperSize="8" scale="48" fitToHeight="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92D050"/>
  </sheetPr>
  <dimension ref="A1:AA64"/>
  <sheetViews>
    <sheetView showGridLines="0" zoomScaleNormal="100" zoomScaleSheetLayoutView="85" workbookViewId="0">
      <pane xSplit="3" topLeftCell="O1" activePane="topRight" state="frozen"/>
      <selection activeCell="F44" sqref="F44"/>
      <selection pane="topRight" activeCell="AF18" sqref="AF18"/>
    </sheetView>
  </sheetViews>
  <sheetFormatPr defaultColWidth="9.140625" defaultRowHeight="12.75" outlineLevelCol="1"/>
  <cols>
    <col min="1" max="1" width="3.7109375" style="751" customWidth="1"/>
    <col min="2" max="2" width="9.28515625" style="751" customWidth="1"/>
    <col min="3" max="3" width="31.85546875" style="751" customWidth="1"/>
    <col min="4" max="4" width="11.85546875" style="751" customWidth="1"/>
    <col min="5" max="5" width="22.85546875" style="751" customWidth="1"/>
    <col min="6" max="6" width="21" style="751" customWidth="1"/>
    <col min="7" max="7" width="12.42578125" style="751" customWidth="1"/>
    <col min="8" max="8" width="15.42578125" style="751" customWidth="1"/>
    <col min="9" max="10" width="27.28515625" style="751" customWidth="1"/>
    <col min="11" max="11" width="14" style="751" customWidth="1"/>
    <col min="12" max="12" width="23.85546875" style="751" customWidth="1"/>
    <col min="13" max="13" width="24.85546875" style="751" customWidth="1"/>
    <col min="14" max="18" width="17.5703125" style="751" customWidth="1"/>
    <col min="19" max="19" width="16.140625" style="751" customWidth="1"/>
    <col min="20" max="20" width="13.42578125" style="212" bestFit="1" customWidth="1"/>
    <col min="21" max="24" width="17.5703125" style="751" hidden="1" customWidth="1" outlineLevel="1"/>
    <col min="25" max="25" width="16.140625" style="751" hidden="1" customWidth="1" outlineLevel="1"/>
    <col min="26" max="26" width="13.42578125" style="212" hidden="1" customWidth="1" outlineLevel="1"/>
    <col min="27" max="27" width="9.140625" style="751" collapsed="1"/>
    <col min="28" max="16384" width="9.140625" style="751"/>
  </cols>
  <sheetData>
    <row r="1" spans="1:26">
      <c r="A1" s="2410" t="s">
        <v>210</v>
      </c>
      <c r="B1" s="2410"/>
      <c r="C1" s="2410"/>
      <c r="D1" s="804"/>
      <c r="E1" s="804"/>
      <c r="F1" s="804"/>
      <c r="G1" s="804"/>
      <c r="H1" s="804"/>
      <c r="I1" s="804"/>
      <c r="J1" s="804"/>
      <c r="K1" s="804"/>
      <c r="L1" s="804"/>
      <c r="M1" s="804"/>
      <c r="N1" s="804"/>
      <c r="O1" s="804"/>
      <c r="P1" s="804"/>
      <c r="Q1" s="804"/>
      <c r="R1" s="804"/>
      <c r="S1" s="804"/>
      <c r="U1" s="804"/>
      <c r="V1" s="804"/>
      <c r="W1" s="804"/>
      <c r="X1" s="804"/>
      <c r="Y1" s="804"/>
    </row>
    <row r="2" spans="1:26" s="754" customFormat="1" ht="12">
      <c r="A2" s="805"/>
      <c r="B2" s="806"/>
      <c r="C2" s="807"/>
      <c r="D2" s="806"/>
      <c r="E2" s="808"/>
      <c r="F2" s="808"/>
      <c r="G2" s="808"/>
      <c r="H2" s="808"/>
      <c r="I2" s="808"/>
      <c r="J2" s="808"/>
      <c r="K2" s="808"/>
      <c r="L2" s="808"/>
      <c r="M2" s="808"/>
      <c r="N2" s="808"/>
      <c r="O2" s="808"/>
      <c r="P2" s="808"/>
      <c r="Q2" s="808"/>
      <c r="R2" s="808"/>
      <c r="S2" s="805"/>
      <c r="U2" s="808"/>
      <c r="V2" s="808"/>
      <c r="W2" s="808"/>
      <c r="X2" s="808"/>
      <c r="Y2" s="805"/>
    </row>
    <row r="3" spans="1:26" s="631" customFormat="1" ht="12">
      <c r="A3" s="809"/>
      <c r="B3" s="809"/>
      <c r="C3" s="809"/>
      <c r="D3" s="809"/>
      <c r="E3" s="2411"/>
      <c r="F3" s="2411"/>
      <c r="G3" s="2411"/>
      <c r="H3" s="809"/>
      <c r="I3" s="809"/>
      <c r="J3" s="809"/>
      <c r="K3" s="809"/>
      <c r="L3" s="809"/>
      <c r="M3" s="809"/>
      <c r="N3" s="809"/>
      <c r="O3" s="809"/>
      <c r="P3" s="809"/>
      <c r="Q3" s="809"/>
      <c r="R3" s="809"/>
      <c r="S3" s="809"/>
      <c r="U3" s="809"/>
      <c r="V3" s="809"/>
      <c r="W3" s="809"/>
      <c r="X3" s="809"/>
      <c r="Y3" s="809"/>
    </row>
    <row r="4" spans="1:26" s="637" customFormat="1" ht="22.9" customHeight="1">
      <c r="A4" s="640"/>
      <c r="B4" s="2412" t="str">
        <f>"Форма для представления сведений по аренде прочего имущества  на "&amp;'0. Анкета'!C15&amp;" год, участвующего в деятельности по передаче электрической энергии"</f>
        <v>Форма для представления сведений по аренде прочего имущества  на 2024 год, участвующего в деятельности по передаче электрической энергии</v>
      </c>
      <c r="C4" s="2412"/>
      <c r="D4" s="2412"/>
      <c r="E4" s="2412"/>
      <c r="F4" s="2412"/>
      <c r="G4" s="2412"/>
      <c r="H4" s="2412"/>
      <c r="I4" s="2412"/>
      <c r="J4" s="2412"/>
      <c r="K4" s="2412"/>
      <c r="L4" s="2412"/>
      <c r="M4" s="2412"/>
      <c r="N4" s="2412"/>
      <c r="O4" s="2412"/>
      <c r="P4" s="2412"/>
      <c r="Q4" s="2412"/>
      <c r="R4" s="2412"/>
      <c r="S4" s="2412"/>
      <c r="U4" s="212"/>
      <c r="V4" s="212"/>
      <c r="W4" s="212"/>
      <c r="X4" s="212"/>
      <c r="Y4" s="212"/>
    </row>
    <row r="5" spans="1:26" s="637" customFormat="1" ht="12">
      <c r="A5" s="640"/>
      <c r="B5" s="638"/>
      <c r="C5" s="638"/>
      <c r="D5" s="638"/>
      <c r="E5" s="638"/>
      <c r="F5" s="640"/>
      <c r="G5" s="639"/>
      <c r="H5" s="638"/>
      <c r="I5" s="640"/>
      <c r="J5" s="640"/>
      <c r="K5" s="640"/>
      <c r="L5" s="640"/>
      <c r="M5" s="640"/>
      <c r="N5" s="640"/>
      <c r="O5" s="640"/>
      <c r="P5" s="640"/>
      <c r="Q5" s="640"/>
      <c r="R5" s="640"/>
      <c r="S5" s="640"/>
      <c r="U5" s="640"/>
      <c r="V5" s="640"/>
      <c r="W5" s="640"/>
      <c r="X5" s="640"/>
      <c r="Y5" s="640"/>
    </row>
    <row r="6" spans="1:26" s="757" customFormat="1" ht="36" customHeight="1">
      <c r="A6" s="810"/>
      <c r="B6" s="2406" t="s">
        <v>12</v>
      </c>
      <c r="C6" s="2406" t="s">
        <v>748</v>
      </c>
      <c r="D6" s="2406" t="s">
        <v>749</v>
      </c>
      <c r="E6" s="2406" t="s">
        <v>555</v>
      </c>
      <c r="F6" s="2406" t="s">
        <v>750</v>
      </c>
      <c r="G6" s="2406" t="s">
        <v>692</v>
      </c>
      <c r="H6" s="2406" t="s">
        <v>693</v>
      </c>
      <c r="I6" s="2380" t="s">
        <v>691</v>
      </c>
      <c r="J6" s="2394" t="s">
        <v>751</v>
      </c>
      <c r="K6" s="2406" t="s">
        <v>752</v>
      </c>
      <c r="L6" s="2406" t="s">
        <v>753</v>
      </c>
      <c r="M6" s="2394" t="str">
        <f>"Величина арендной платы за пользование прочим имуществом на "&amp;'0. Анкета'!C15-1&amp;" год, утверждено,тыс. руб."</f>
        <v>Величина арендной платы за пользование прочим имуществом на 2023 год, утверждено,тыс. руб.</v>
      </c>
      <c r="N6" s="2401" t="str">
        <f>"Величина арендной платы за владение и (или) пользование прочим имуществом за "&amp;'0. Анкета'!C15&amp;" год, тыс. руб. (без НДС)"</f>
        <v>Величина арендной платы за владение и (или) пользование прочим имуществом за 2024 год, тыс. руб. (без НДС)</v>
      </c>
      <c r="O6" s="2402"/>
      <c r="P6" s="2402"/>
      <c r="Q6" s="2402"/>
      <c r="R6" s="2402"/>
      <c r="S6" s="2403"/>
      <c r="T6" s="2406" t="s">
        <v>737</v>
      </c>
      <c r="U6" s="2401" t="str">
        <f>"Расходы на арендную плату, принятые Регулятором в расчет НВВ на "&amp;'0. Анкета'!C15&amp;" год, тыс. руб. (без НДС)"</f>
        <v>Расходы на арендную плату, принятые Регулятором в расчет НВВ на 2024 год, тыс. руб. (без НДС)</v>
      </c>
      <c r="V6" s="2402"/>
      <c r="W6" s="2402"/>
      <c r="X6" s="2402"/>
      <c r="Y6" s="2402"/>
      <c r="Z6" s="2403"/>
    </row>
    <row r="7" spans="1:26" s="757" customFormat="1" ht="27.6" customHeight="1">
      <c r="A7" s="810"/>
      <c r="B7" s="2406"/>
      <c r="C7" s="2406"/>
      <c r="D7" s="2406"/>
      <c r="E7" s="2406"/>
      <c r="F7" s="2406"/>
      <c r="G7" s="2406"/>
      <c r="H7" s="2406"/>
      <c r="I7" s="2381"/>
      <c r="J7" s="2394"/>
      <c r="K7" s="2406"/>
      <c r="L7" s="2406"/>
      <c r="M7" s="2394"/>
      <c r="N7" s="2394" t="str">
        <f>"заявлена в тарифе на  "&amp;'0. Анкета'!C15&amp;" год"</f>
        <v>заявлена в тарифе на  2024 год</v>
      </c>
      <c r="O7" s="2394" t="str">
        <f>"сумма по договорам за  "&amp;'0. Анкета'!C15&amp;" год"</f>
        <v>сумма по договорам за  2024 год</v>
      </c>
      <c r="P7" s="2343" t="s">
        <v>700</v>
      </c>
      <c r="Q7" s="2343"/>
      <c r="R7" s="2343"/>
      <c r="S7" s="2343"/>
      <c r="T7" s="2406"/>
      <c r="U7" s="2394" t="str">
        <f>"принято в расчет НВВ на  "&amp;'0. Анкета'!C15&amp;" год"</f>
        <v>принято в расчет НВВ на  2024 год</v>
      </c>
      <c r="V7" s="2343" t="s">
        <v>700</v>
      </c>
      <c r="W7" s="2343"/>
      <c r="X7" s="2343"/>
      <c r="Y7" s="2343"/>
      <c r="Z7" s="2407" t="s">
        <v>15</v>
      </c>
    </row>
    <row r="8" spans="1:26" s="757" customFormat="1" ht="24">
      <c r="A8" s="810"/>
      <c r="B8" s="2406"/>
      <c r="C8" s="2406"/>
      <c r="D8" s="2406"/>
      <c r="E8" s="2406"/>
      <c r="F8" s="2406"/>
      <c r="G8" s="2406"/>
      <c r="H8" s="2406"/>
      <c r="I8" s="2382"/>
      <c r="J8" s="2394"/>
      <c r="K8" s="2406"/>
      <c r="L8" s="2406"/>
      <c r="M8" s="2394"/>
      <c r="N8" s="2394"/>
      <c r="O8" s="2394"/>
      <c r="P8" s="758" t="s">
        <v>172</v>
      </c>
      <c r="Q8" s="758" t="s">
        <v>755</v>
      </c>
      <c r="R8" s="758" t="s">
        <v>756</v>
      </c>
      <c r="S8" s="758" t="s">
        <v>711</v>
      </c>
      <c r="T8" s="2406"/>
      <c r="U8" s="2394"/>
      <c r="V8" s="758" t="s">
        <v>172</v>
      </c>
      <c r="W8" s="758" t="s">
        <v>755</v>
      </c>
      <c r="X8" s="758" t="s">
        <v>756</v>
      </c>
      <c r="Y8" s="758" t="s">
        <v>711</v>
      </c>
      <c r="Z8" s="2409"/>
    </row>
    <row r="9" spans="1:26" s="757" customFormat="1" ht="12">
      <c r="A9" s="810"/>
      <c r="B9" s="760">
        <v>1</v>
      </c>
      <c r="C9" s="760">
        <f>B9+1</f>
        <v>2</v>
      </c>
      <c r="D9" s="760">
        <f t="shared" ref="D9:Z9" si="0">C9+1</f>
        <v>3</v>
      </c>
      <c r="E9" s="760">
        <f t="shared" si="0"/>
        <v>4</v>
      </c>
      <c r="F9" s="760">
        <f t="shared" si="0"/>
        <v>5</v>
      </c>
      <c r="G9" s="760">
        <f t="shared" si="0"/>
        <v>6</v>
      </c>
      <c r="H9" s="760">
        <f t="shared" si="0"/>
        <v>7</v>
      </c>
      <c r="I9" s="760">
        <f t="shared" si="0"/>
        <v>8</v>
      </c>
      <c r="J9" s="760">
        <f t="shared" si="0"/>
        <v>9</v>
      </c>
      <c r="K9" s="760">
        <f t="shared" si="0"/>
        <v>10</v>
      </c>
      <c r="L9" s="760">
        <f t="shared" si="0"/>
        <v>11</v>
      </c>
      <c r="M9" s="760">
        <f t="shared" si="0"/>
        <v>12</v>
      </c>
      <c r="N9" s="760">
        <f t="shared" si="0"/>
        <v>13</v>
      </c>
      <c r="O9" s="760">
        <f t="shared" si="0"/>
        <v>14</v>
      </c>
      <c r="P9" s="760">
        <f t="shared" si="0"/>
        <v>15</v>
      </c>
      <c r="Q9" s="760">
        <f t="shared" si="0"/>
        <v>16</v>
      </c>
      <c r="R9" s="760">
        <f t="shared" si="0"/>
        <v>17</v>
      </c>
      <c r="S9" s="760">
        <f t="shared" si="0"/>
        <v>18</v>
      </c>
      <c r="T9" s="760">
        <f t="shared" si="0"/>
        <v>19</v>
      </c>
      <c r="U9" s="760">
        <f t="shared" si="0"/>
        <v>20</v>
      </c>
      <c r="V9" s="760">
        <f t="shared" si="0"/>
        <v>21</v>
      </c>
      <c r="W9" s="760">
        <f t="shared" si="0"/>
        <v>22</v>
      </c>
      <c r="X9" s="760">
        <f t="shared" si="0"/>
        <v>23</v>
      </c>
      <c r="Y9" s="760">
        <f t="shared" si="0"/>
        <v>24</v>
      </c>
      <c r="Z9" s="760">
        <f t="shared" si="0"/>
        <v>25</v>
      </c>
    </row>
    <row r="10" spans="1:26" s="757" customFormat="1" ht="24">
      <c r="A10" s="810"/>
      <c r="B10" s="761" t="s">
        <v>234</v>
      </c>
      <c r="C10" s="762" t="s">
        <v>757</v>
      </c>
      <c r="D10" s="763"/>
      <c r="E10" s="763"/>
      <c r="F10" s="763"/>
      <c r="G10" s="764"/>
      <c r="H10" s="764"/>
      <c r="I10" s="764"/>
      <c r="J10" s="763"/>
      <c r="K10" s="811">
        <f>SUM(K11,K15)</f>
        <v>0</v>
      </c>
      <c r="L10" s="763"/>
      <c r="M10" s="766"/>
      <c r="N10" s="811">
        <f t="shared" ref="N10:S10" si="1">SUM(N11,N15)</f>
        <v>0</v>
      </c>
      <c r="O10" s="811">
        <f t="shared" si="1"/>
        <v>0</v>
      </c>
      <c r="P10" s="811">
        <f t="shared" si="1"/>
        <v>0</v>
      </c>
      <c r="Q10" s="811">
        <f t="shared" si="1"/>
        <v>0</v>
      </c>
      <c r="R10" s="811">
        <f t="shared" si="1"/>
        <v>0</v>
      </c>
      <c r="S10" s="811">
        <f t="shared" si="1"/>
        <v>0</v>
      </c>
      <c r="T10" s="768"/>
      <c r="U10" s="811">
        <f>SUM(U11,U15)</f>
        <v>0</v>
      </c>
      <c r="V10" s="811">
        <f>SUM(V11,V15)</f>
        <v>0</v>
      </c>
      <c r="W10" s="811">
        <f>SUM(W11,W15)</f>
        <v>0</v>
      </c>
      <c r="X10" s="811">
        <f>SUM(X11,X15)</f>
        <v>0</v>
      </c>
      <c r="Y10" s="811">
        <f>SUM(Y11,Y15)</f>
        <v>0</v>
      </c>
      <c r="Z10" s="768"/>
    </row>
    <row r="11" spans="1:26" s="757" customFormat="1" ht="12">
      <c r="A11" s="810"/>
      <c r="B11" s="769" t="s">
        <v>267</v>
      </c>
      <c r="C11" s="770" t="s">
        <v>758</v>
      </c>
      <c r="D11" s="771"/>
      <c r="E11" s="771"/>
      <c r="F11" s="771"/>
      <c r="G11" s="772"/>
      <c r="H11" s="772"/>
      <c r="I11" s="772"/>
      <c r="J11" s="771"/>
      <c r="K11" s="812">
        <f>SUM(K12:K14)</f>
        <v>0</v>
      </c>
      <c r="L11" s="771"/>
      <c r="M11" s="766"/>
      <c r="N11" s="812">
        <f t="shared" ref="N11:S11" si="2">SUM(N12:N14)</f>
        <v>0</v>
      </c>
      <c r="O11" s="812">
        <f t="shared" si="2"/>
        <v>0</v>
      </c>
      <c r="P11" s="811">
        <f t="shared" si="2"/>
        <v>0</v>
      </c>
      <c r="Q11" s="811">
        <f t="shared" si="2"/>
        <v>0</v>
      </c>
      <c r="R11" s="811">
        <f t="shared" si="2"/>
        <v>0</v>
      </c>
      <c r="S11" s="811">
        <f t="shared" si="2"/>
        <v>0</v>
      </c>
      <c r="T11" s="768"/>
      <c r="U11" s="812">
        <f>SUM(U12:U14)</f>
        <v>0</v>
      </c>
      <c r="V11" s="811">
        <f>SUM(V12:V14)</f>
        <v>0</v>
      </c>
      <c r="W11" s="811">
        <f>SUM(W12:W14)</f>
        <v>0</v>
      </c>
      <c r="X11" s="811">
        <f>SUM(X12:X14)</f>
        <v>0</v>
      </c>
      <c r="Y11" s="811">
        <f>SUM(Y12:Y14)</f>
        <v>0</v>
      </c>
      <c r="Z11" s="768"/>
    </row>
    <row r="12" spans="1:26" s="757" customFormat="1" ht="12">
      <c r="A12" s="810"/>
      <c r="B12" s="775" t="str">
        <f>CONCATENATE(B$11,"",ROW()-ROW(B$11))</f>
        <v>1.1.1</v>
      </c>
      <c r="C12" s="766"/>
      <c r="D12" s="766"/>
      <c r="E12" s="766"/>
      <c r="F12" s="766"/>
      <c r="G12" s="776"/>
      <c r="H12" s="776"/>
      <c r="I12" s="776"/>
      <c r="J12" s="766"/>
      <c r="K12" s="766"/>
      <c r="L12" s="766"/>
      <c r="M12" s="813"/>
      <c r="N12" s="766"/>
      <c r="O12" s="766"/>
      <c r="P12" s="812">
        <f>SUM(Q12:S12)</f>
        <v>0</v>
      </c>
      <c r="Q12" s="766"/>
      <c r="R12" s="766"/>
      <c r="S12" s="766"/>
      <c r="T12" s="768"/>
      <c r="U12" s="766"/>
      <c r="V12" s="812">
        <f>SUM(W12:Y12)</f>
        <v>0</v>
      </c>
      <c r="W12" s="766"/>
      <c r="X12" s="766"/>
      <c r="Y12" s="766"/>
      <c r="Z12" s="768"/>
    </row>
    <row r="13" spans="1:26" s="757" customFormat="1" ht="12">
      <c r="A13" s="810"/>
      <c r="B13" s="775" t="str">
        <f>CONCATENATE(B$11,"",ROW()-ROW(B$11))</f>
        <v>1.1.2</v>
      </c>
      <c r="C13" s="766"/>
      <c r="D13" s="766"/>
      <c r="E13" s="766"/>
      <c r="F13" s="766"/>
      <c r="G13" s="776"/>
      <c r="H13" s="776"/>
      <c r="I13" s="776"/>
      <c r="J13" s="766"/>
      <c r="K13" s="766"/>
      <c r="L13" s="766"/>
      <c r="M13" s="813"/>
      <c r="N13" s="766"/>
      <c r="O13" s="766"/>
      <c r="P13" s="812">
        <f>SUM(Q13:S13)</f>
        <v>0</v>
      </c>
      <c r="Q13" s="766"/>
      <c r="R13" s="766"/>
      <c r="S13" s="766"/>
      <c r="T13" s="768"/>
      <c r="U13" s="766"/>
      <c r="V13" s="812">
        <f>SUM(W13:Y13)</f>
        <v>0</v>
      </c>
      <c r="W13" s="766"/>
      <c r="X13" s="766"/>
      <c r="Y13" s="766"/>
      <c r="Z13" s="768"/>
    </row>
    <row r="14" spans="1:26" s="757" customFormat="1">
      <c r="A14" s="810"/>
      <c r="B14" s="780"/>
      <c r="C14" s="473" t="s">
        <v>7</v>
      </c>
      <c r="D14" s="780"/>
      <c r="E14" s="780"/>
      <c r="F14" s="781"/>
      <c r="G14" s="781"/>
      <c r="H14" s="781"/>
      <c r="I14" s="781"/>
      <c r="J14" s="781"/>
      <c r="K14" s="781"/>
      <c r="L14" s="781"/>
      <c r="M14" s="781"/>
      <c r="N14" s="781"/>
      <c r="O14" s="781"/>
      <c r="P14" s="781"/>
      <c r="Q14" s="781"/>
      <c r="R14" s="781"/>
      <c r="S14" s="781"/>
      <c r="T14" s="785"/>
      <c r="U14" s="781"/>
      <c r="V14" s="781"/>
      <c r="W14" s="781"/>
      <c r="X14" s="781"/>
      <c r="Y14" s="781"/>
      <c r="Z14" s="785"/>
    </row>
    <row r="15" spans="1:26" s="757" customFormat="1" ht="12">
      <c r="A15" s="810"/>
      <c r="B15" s="769" t="s">
        <v>269</v>
      </c>
      <c r="C15" s="770" t="s">
        <v>759</v>
      </c>
      <c r="D15" s="771"/>
      <c r="E15" s="771"/>
      <c r="F15" s="771"/>
      <c r="G15" s="772"/>
      <c r="H15" s="772"/>
      <c r="I15" s="772"/>
      <c r="J15" s="771"/>
      <c r="K15" s="812">
        <f>SUM(K16:K18)</f>
        <v>0</v>
      </c>
      <c r="L15" s="771"/>
      <c r="M15" s="766"/>
      <c r="N15" s="812">
        <f>SUM(N16:N18)</f>
        <v>0</v>
      </c>
      <c r="O15" s="812">
        <f>SUM(O16:O18)</f>
        <v>0</v>
      </c>
      <c r="P15" s="794"/>
      <c r="Q15" s="794"/>
      <c r="R15" s="794"/>
      <c r="S15" s="794"/>
      <c r="T15" s="768"/>
      <c r="U15" s="812">
        <f>SUM(U16:U18)</f>
        <v>0</v>
      </c>
      <c r="V15" s="794"/>
      <c r="W15" s="794"/>
      <c r="X15" s="794"/>
      <c r="Y15" s="794"/>
      <c r="Z15" s="768"/>
    </row>
    <row r="16" spans="1:26" s="757" customFormat="1" ht="12">
      <c r="A16" s="810"/>
      <c r="B16" s="775" t="str">
        <f>CONCATENATE(B$15,"",ROW()-ROW(B$15))</f>
        <v>1.2.1</v>
      </c>
      <c r="C16" s="786"/>
      <c r="D16" s="814"/>
      <c r="E16" s="786"/>
      <c r="F16" s="786"/>
      <c r="G16" s="814"/>
      <c r="H16" s="786"/>
      <c r="I16" s="815"/>
      <c r="J16" s="786"/>
      <c r="K16" s="786"/>
      <c r="L16" s="786"/>
      <c r="M16" s="813"/>
      <c r="N16" s="786"/>
      <c r="O16" s="786"/>
      <c r="P16" s="794"/>
      <c r="Q16" s="794"/>
      <c r="R16" s="794"/>
      <c r="S16" s="794"/>
      <c r="T16" s="768"/>
      <c r="U16" s="766"/>
      <c r="V16" s="794"/>
      <c r="W16" s="794"/>
      <c r="X16" s="794"/>
      <c r="Y16" s="794"/>
      <c r="Z16" s="768"/>
    </row>
    <row r="17" spans="1:26" s="757" customFormat="1" ht="12">
      <c r="A17" s="810"/>
      <c r="B17" s="775" t="str">
        <f>CONCATENATE(B$15,"",ROW()-ROW(B$15))</f>
        <v>1.2.2</v>
      </c>
      <c r="C17" s="766"/>
      <c r="D17" s="766"/>
      <c r="E17" s="766"/>
      <c r="F17" s="766"/>
      <c r="G17" s="766"/>
      <c r="H17" s="786"/>
      <c r="I17" s="766"/>
      <c r="J17" s="766"/>
      <c r="K17" s="766"/>
      <c r="L17" s="766"/>
      <c r="M17" s="813"/>
      <c r="N17" s="766"/>
      <c r="O17" s="766"/>
      <c r="P17" s="794"/>
      <c r="Q17" s="794"/>
      <c r="R17" s="794"/>
      <c r="S17" s="794"/>
      <c r="T17" s="768"/>
      <c r="U17" s="766"/>
      <c r="V17" s="794"/>
      <c r="W17" s="794"/>
      <c r="X17" s="794"/>
      <c r="Y17" s="794"/>
      <c r="Z17" s="768"/>
    </row>
    <row r="18" spans="1:26" s="757" customFormat="1">
      <c r="A18" s="810"/>
      <c r="B18" s="780"/>
      <c r="C18" s="473" t="s">
        <v>7</v>
      </c>
      <c r="D18" s="780"/>
      <c r="E18" s="780"/>
      <c r="F18" s="781"/>
      <c r="G18" s="781"/>
      <c r="H18" s="781"/>
      <c r="I18" s="781"/>
      <c r="J18" s="781"/>
      <c r="K18" s="781"/>
      <c r="L18" s="781"/>
      <c r="M18" s="781"/>
      <c r="N18" s="781"/>
      <c r="O18" s="781"/>
      <c r="P18" s="781"/>
      <c r="Q18" s="781"/>
      <c r="R18" s="781"/>
      <c r="S18" s="781"/>
      <c r="T18" s="785"/>
      <c r="U18" s="781"/>
      <c r="V18" s="781"/>
      <c r="W18" s="781"/>
      <c r="X18" s="781"/>
      <c r="Y18" s="781"/>
      <c r="Z18" s="785"/>
    </row>
    <row r="19" spans="1:26" s="757" customFormat="1" ht="24">
      <c r="A19" s="810"/>
      <c r="B19" s="761" t="s">
        <v>237</v>
      </c>
      <c r="C19" s="762" t="s">
        <v>760</v>
      </c>
      <c r="D19" s="763"/>
      <c r="E19" s="763"/>
      <c r="F19" s="763"/>
      <c r="G19" s="764"/>
      <c r="H19" s="764"/>
      <c r="I19" s="764"/>
      <c r="J19" s="763"/>
      <c r="K19" s="816"/>
      <c r="L19" s="763"/>
      <c r="M19" s="766"/>
      <c r="N19" s="811">
        <f t="shared" ref="N19:S19" si="3">SUM(N20:N22)</f>
        <v>0</v>
      </c>
      <c r="O19" s="811">
        <f t="shared" si="3"/>
        <v>0</v>
      </c>
      <c r="P19" s="817">
        <f t="shared" si="3"/>
        <v>0</v>
      </c>
      <c r="Q19" s="817">
        <f t="shared" si="3"/>
        <v>0</v>
      </c>
      <c r="R19" s="817">
        <f t="shared" si="3"/>
        <v>0</v>
      </c>
      <c r="S19" s="817">
        <f t="shared" si="3"/>
        <v>0</v>
      </c>
      <c r="T19" s="768"/>
      <c r="U19" s="811">
        <f>SUM(U20:U22)</f>
        <v>0</v>
      </c>
      <c r="V19" s="817">
        <f>SUM(V20:V22)</f>
        <v>0</v>
      </c>
      <c r="W19" s="817">
        <f>SUM(W20:W22)</f>
        <v>0</v>
      </c>
      <c r="X19" s="817">
        <f>SUM(X20:X22)</f>
        <v>0</v>
      </c>
      <c r="Y19" s="817">
        <f>SUM(Y20:Y22)</f>
        <v>0</v>
      </c>
      <c r="Z19" s="768"/>
    </row>
    <row r="20" spans="1:26" s="757" customFormat="1" ht="12">
      <c r="A20" s="810"/>
      <c r="B20" s="775" t="str">
        <f>CONCATENATE(B$19,"",ROW()-ROW(B$19))</f>
        <v>2.1</v>
      </c>
      <c r="C20" s="766"/>
      <c r="D20" s="766"/>
      <c r="E20" s="766"/>
      <c r="F20" s="766"/>
      <c r="G20" s="766"/>
      <c r="H20" s="766"/>
      <c r="I20" s="766"/>
      <c r="J20" s="766"/>
      <c r="K20" s="818"/>
      <c r="L20" s="766"/>
      <c r="M20" s="813"/>
      <c r="N20" s="766"/>
      <c r="O20" s="766"/>
      <c r="P20" s="819">
        <f>SUM(Q20:S20)</f>
        <v>0</v>
      </c>
      <c r="Q20" s="766"/>
      <c r="R20" s="766"/>
      <c r="S20" s="766"/>
      <c r="T20" s="768"/>
      <c r="U20" s="766"/>
      <c r="V20" s="819">
        <f>SUM(W20:Y20)</f>
        <v>0</v>
      </c>
      <c r="W20" s="766"/>
      <c r="X20" s="766"/>
      <c r="Y20" s="766"/>
      <c r="Z20" s="768"/>
    </row>
    <row r="21" spans="1:26" s="757" customFormat="1" ht="12">
      <c r="A21" s="810"/>
      <c r="B21" s="775" t="str">
        <f>CONCATENATE(B$19,"",ROW()-ROW(B$19))</f>
        <v>2.2</v>
      </c>
      <c r="C21" s="766"/>
      <c r="D21" s="766"/>
      <c r="E21" s="766"/>
      <c r="F21" s="766"/>
      <c r="G21" s="766"/>
      <c r="H21" s="766"/>
      <c r="I21" s="766"/>
      <c r="J21" s="766"/>
      <c r="K21" s="818"/>
      <c r="L21" s="766"/>
      <c r="M21" s="813"/>
      <c r="N21" s="766"/>
      <c r="O21" s="766"/>
      <c r="P21" s="819">
        <f>SUM(Q21:S21)</f>
        <v>0</v>
      </c>
      <c r="Q21" s="766"/>
      <c r="R21" s="766"/>
      <c r="S21" s="766"/>
      <c r="T21" s="768"/>
      <c r="U21" s="766"/>
      <c r="V21" s="819">
        <f>SUM(W21:Y21)</f>
        <v>0</v>
      </c>
      <c r="W21" s="766"/>
      <c r="X21" s="766"/>
      <c r="Y21" s="766"/>
      <c r="Z21" s="768"/>
    </row>
    <row r="22" spans="1:26" s="757" customFormat="1">
      <c r="A22" s="810"/>
      <c r="B22" s="780"/>
      <c r="C22" s="473" t="s">
        <v>7</v>
      </c>
      <c r="D22" s="780"/>
      <c r="E22" s="780"/>
      <c r="F22" s="781"/>
      <c r="G22" s="781"/>
      <c r="H22" s="781"/>
      <c r="I22" s="781"/>
      <c r="J22" s="781"/>
      <c r="K22" s="781"/>
      <c r="L22" s="781"/>
      <c r="M22" s="781"/>
      <c r="N22" s="781"/>
      <c r="O22" s="781"/>
      <c r="P22" s="781"/>
      <c r="Q22" s="781"/>
      <c r="R22" s="781"/>
      <c r="S22" s="781"/>
      <c r="T22" s="785"/>
      <c r="U22" s="781"/>
      <c r="V22" s="781"/>
      <c r="W22" s="781"/>
      <c r="X22" s="781"/>
      <c r="Y22" s="781"/>
      <c r="Z22" s="785"/>
    </row>
    <row r="23" spans="1:26" s="757" customFormat="1" ht="12">
      <c r="A23" s="810"/>
      <c r="B23" s="761" t="s">
        <v>239</v>
      </c>
      <c r="C23" s="762" t="s">
        <v>761</v>
      </c>
      <c r="D23" s="763"/>
      <c r="E23" s="763"/>
      <c r="F23" s="763"/>
      <c r="G23" s="764"/>
      <c r="H23" s="764"/>
      <c r="I23" s="764"/>
      <c r="J23" s="763"/>
      <c r="K23" s="816"/>
      <c r="L23" s="763"/>
      <c r="M23" s="766"/>
      <c r="N23" s="811">
        <f t="shared" ref="N23:S23" si="4">SUM(N24:N26)</f>
        <v>0</v>
      </c>
      <c r="O23" s="811">
        <f t="shared" si="4"/>
        <v>0</v>
      </c>
      <c r="P23" s="817">
        <f t="shared" si="4"/>
        <v>0</v>
      </c>
      <c r="Q23" s="817">
        <f t="shared" si="4"/>
        <v>0</v>
      </c>
      <c r="R23" s="817">
        <f t="shared" si="4"/>
        <v>0</v>
      </c>
      <c r="S23" s="817">
        <f t="shared" si="4"/>
        <v>0</v>
      </c>
      <c r="T23" s="768"/>
      <c r="U23" s="811">
        <f>SUM(U24:U26)</f>
        <v>0</v>
      </c>
      <c r="V23" s="817">
        <f>SUM(V24:V26)</f>
        <v>0</v>
      </c>
      <c r="W23" s="817">
        <f>SUM(W24:W26)</f>
        <v>0</v>
      </c>
      <c r="X23" s="817">
        <f>SUM(X24:X26)</f>
        <v>0</v>
      </c>
      <c r="Y23" s="817">
        <f>SUM(Y24:Y26)</f>
        <v>0</v>
      </c>
      <c r="Z23" s="768"/>
    </row>
    <row r="24" spans="1:26" s="757" customFormat="1" ht="12">
      <c r="A24" s="810"/>
      <c r="B24" s="775" t="str">
        <f>CONCATENATE(B$23,"",ROW()-ROW(B$23))</f>
        <v>3.1</v>
      </c>
      <c r="C24" s="766"/>
      <c r="D24" s="766"/>
      <c r="E24" s="766"/>
      <c r="F24" s="766"/>
      <c r="G24" s="766"/>
      <c r="H24" s="766"/>
      <c r="I24" s="766"/>
      <c r="J24" s="766"/>
      <c r="K24" s="818"/>
      <c r="L24" s="766"/>
      <c r="M24" s="813"/>
      <c r="N24" s="766"/>
      <c r="O24" s="766"/>
      <c r="P24" s="819">
        <f>SUM(Q24:S24)</f>
        <v>0</v>
      </c>
      <c r="Q24" s="766"/>
      <c r="R24" s="766"/>
      <c r="S24" s="766"/>
      <c r="T24" s="768"/>
      <c r="U24" s="766"/>
      <c r="V24" s="819">
        <f>SUM(W24:Y24)</f>
        <v>0</v>
      </c>
      <c r="W24" s="766"/>
      <c r="X24" s="766"/>
      <c r="Y24" s="766"/>
      <c r="Z24" s="768"/>
    </row>
    <row r="25" spans="1:26" s="757" customFormat="1" ht="12">
      <c r="A25" s="810"/>
      <c r="B25" s="820" t="s">
        <v>464</v>
      </c>
      <c r="C25" s="766"/>
      <c r="D25" s="766"/>
      <c r="E25" s="766"/>
      <c r="F25" s="766"/>
      <c r="G25" s="766"/>
      <c r="H25" s="766"/>
      <c r="I25" s="766"/>
      <c r="J25" s="766"/>
      <c r="K25" s="818"/>
      <c r="L25" s="766"/>
      <c r="M25" s="813"/>
      <c r="N25" s="766"/>
      <c r="O25" s="766"/>
      <c r="P25" s="819">
        <f>SUM(Q25:S25)</f>
        <v>0</v>
      </c>
      <c r="Q25" s="766"/>
      <c r="R25" s="766"/>
      <c r="S25" s="766"/>
      <c r="T25" s="768"/>
      <c r="U25" s="766"/>
      <c r="V25" s="819">
        <f>SUM(W25:Y25)</f>
        <v>0</v>
      </c>
      <c r="W25" s="766"/>
      <c r="X25" s="766"/>
      <c r="Y25" s="766"/>
      <c r="Z25" s="768"/>
    </row>
    <row r="26" spans="1:26" s="757" customFormat="1">
      <c r="A26" s="810"/>
      <c r="B26" s="780"/>
      <c r="C26" s="473" t="s">
        <v>7</v>
      </c>
      <c r="D26" s="780"/>
      <c r="E26" s="780"/>
      <c r="F26" s="781"/>
      <c r="G26" s="781"/>
      <c r="H26" s="781"/>
      <c r="I26" s="781"/>
      <c r="J26" s="781"/>
      <c r="K26" s="781"/>
      <c r="L26" s="781"/>
      <c r="M26" s="781"/>
      <c r="N26" s="781"/>
      <c r="O26" s="781"/>
      <c r="P26" s="781"/>
      <c r="Q26" s="781"/>
      <c r="R26" s="781"/>
      <c r="S26" s="781"/>
      <c r="T26" s="785"/>
      <c r="U26" s="781"/>
      <c r="V26" s="781"/>
      <c r="W26" s="781"/>
      <c r="X26" s="781"/>
      <c r="Y26" s="781"/>
      <c r="Z26" s="785"/>
    </row>
    <row r="27" spans="1:26" s="757" customFormat="1" ht="12">
      <c r="A27" s="810"/>
      <c r="B27" s="758"/>
      <c r="C27" s="792" t="s">
        <v>497</v>
      </c>
      <c r="D27" s="758"/>
      <c r="E27" s="758"/>
      <c r="F27" s="758"/>
      <c r="G27" s="758"/>
      <c r="H27" s="758"/>
      <c r="I27" s="758"/>
      <c r="J27" s="758"/>
      <c r="K27" s="793">
        <f>K10</f>
        <v>0</v>
      </c>
      <c r="L27" s="758"/>
      <c r="M27" s="766"/>
      <c r="N27" s="793">
        <f t="shared" ref="N27:S27" si="5">SUM(N10,N19,N23)</f>
        <v>0</v>
      </c>
      <c r="O27" s="793">
        <f t="shared" si="5"/>
        <v>0</v>
      </c>
      <c r="P27" s="793">
        <f t="shared" si="5"/>
        <v>0</v>
      </c>
      <c r="Q27" s="793">
        <f t="shared" si="5"/>
        <v>0</v>
      </c>
      <c r="R27" s="793">
        <f t="shared" si="5"/>
        <v>0</v>
      </c>
      <c r="S27" s="793">
        <f t="shared" si="5"/>
        <v>0</v>
      </c>
      <c r="T27" s="794"/>
      <c r="U27" s="793">
        <f>SUM(U10,U19,U23)</f>
        <v>0</v>
      </c>
      <c r="V27" s="793">
        <f>SUM(V10,V19,V23)</f>
        <v>0</v>
      </c>
      <c r="W27" s="793">
        <f>SUM(W10,W19,W23)</f>
        <v>0</v>
      </c>
      <c r="X27" s="793">
        <f>SUM(X10,X19,X23)</f>
        <v>0</v>
      </c>
      <c r="Y27" s="793">
        <f>SUM(Y10,Y19,Y23)</f>
        <v>0</v>
      </c>
      <c r="Z27" s="794"/>
    </row>
    <row r="28" spans="1:26">
      <c r="A28" s="804"/>
      <c r="B28" s="821"/>
      <c r="C28" s="821"/>
      <c r="D28" s="821"/>
      <c r="E28" s="821"/>
      <c r="F28" s="821"/>
      <c r="G28" s="821"/>
      <c r="H28" s="821"/>
      <c r="I28" s="821"/>
      <c r="J28" s="821"/>
      <c r="K28" s="821"/>
      <c r="L28" s="821"/>
      <c r="M28" s="821"/>
      <c r="N28" s="821"/>
      <c r="O28" s="821"/>
      <c r="P28" s="821"/>
      <c r="Q28" s="821"/>
      <c r="R28" s="821"/>
      <c r="S28" s="804"/>
      <c r="U28" s="821"/>
      <c r="V28" s="821"/>
      <c r="W28" s="821"/>
      <c r="X28" s="821"/>
      <c r="Y28" s="804"/>
    </row>
    <row r="29" spans="1:26">
      <c r="A29" s="804"/>
      <c r="B29" s="481"/>
      <c r="C29" s="821"/>
      <c r="D29" s="821"/>
      <c r="E29" s="821"/>
      <c r="F29" s="821"/>
      <c r="G29" s="821"/>
      <c r="H29" s="821"/>
      <c r="I29" s="821"/>
      <c r="J29" s="821"/>
      <c r="K29" s="821"/>
      <c r="L29" s="821"/>
      <c r="M29" s="821"/>
      <c r="N29" s="821"/>
      <c r="O29" s="821"/>
      <c r="P29" s="821"/>
      <c r="Q29" s="821"/>
      <c r="R29" s="821"/>
      <c r="S29" s="804"/>
      <c r="U29" s="821"/>
      <c r="V29" s="821"/>
      <c r="W29" s="821"/>
      <c r="X29" s="821"/>
      <c r="Y29" s="804"/>
    </row>
    <row r="30" spans="1:26">
      <c r="A30" s="804"/>
      <c r="B30" s="804"/>
      <c r="C30" s="822"/>
      <c r="D30" s="804"/>
      <c r="E30" s="804"/>
      <c r="F30" s="804"/>
      <c r="G30" s="804"/>
      <c r="H30" s="804"/>
      <c r="I30" s="804"/>
      <c r="J30" s="804"/>
      <c r="K30" s="804"/>
      <c r="L30" s="804"/>
      <c r="M30" s="804"/>
      <c r="N30" s="804"/>
      <c r="O30" s="804"/>
      <c r="P30" s="804"/>
      <c r="Q30" s="804"/>
      <c r="R30" s="804"/>
      <c r="S30" s="804"/>
      <c r="U30" s="804"/>
      <c r="V30" s="804"/>
      <c r="W30" s="804"/>
      <c r="X30" s="804"/>
      <c r="Y30" s="804"/>
    </row>
    <row r="31" spans="1:26">
      <c r="A31" s="804"/>
      <c r="B31" s="804"/>
      <c r="C31" s="822"/>
      <c r="D31" s="804"/>
      <c r="E31" s="804"/>
      <c r="F31" s="804"/>
      <c r="G31" s="804"/>
      <c r="H31" s="804"/>
      <c r="I31" s="804"/>
      <c r="J31" s="804"/>
      <c r="K31" s="804"/>
      <c r="L31" s="804"/>
      <c r="M31" s="804"/>
      <c r="N31" s="804"/>
      <c r="O31" s="804"/>
      <c r="P31" s="804"/>
      <c r="Q31" s="804"/>
      <c r="R31" s="804"/>
      <c r="S31" s="804"/>
      <c r="U31" s="804"/>
      <c r="V31" s="804"/>
      <c r="W31" s="804"/>
      <c r="X31" s="804"/>
      <c r="Y31" s="804"/>
    </row>
    <row r="32" spans="1:26" ht="22.9" customHeight="1">
      <c r="A32" s="804"/>
      <c r="B32" s="2412" t="str">
        <f>"Форма для представления сведений по лизингу прочего имущества  на "&amp;'0. Анкета'!C15&amp;" год, участвующего в деятельности по передаче электрической энергии"</f>
        <v>Форма для представления сведений по лизингу прочего имущества  на 2024 год, участвующего в деятельности по передаче электрической энергии</v>
      </c>
      <c r="C32" s="2412"/>
      <c r="D32" s="2412"/>
      <c r="E32" s="2412"/>
      <c r="F32" s="2412"/>
      <c r="G32" s="2412"/>
      <c r="H32" s="2412"/>
      <c r="I32" s="2412"/>
      <c r="J32" s="2412"/>
      <c r="K32" s="2412"/>
      <c r="L32" s="2412"/>
      <c r="M32" s="2412"/>
      <c r="N32" s="2412"/>
      <c r="O32" s="2412"/>
      <c r="P32" s="2412"/>
      <c r="Q32" s="2412"/>
      <c r="R32" s="2412"/>
      <c r="S32" s="2412"/>
      <c r="U32" s="212"/>
      <c r="V32" s="212"/>
      <c r="W32" s="212"/>
      <c r="X32" s="212"/>
      <c r="Y32" s="212"/>
    </row>
    <row r="33" spans="1:27">
      <c r="A33" s="804"/>
      <c r="B33" s="823"/>
      <c r="C33" s="823"/>
      <c r="D33" s="823"/>
      <c r="E33" s="823"/>
      <c r="F33" s="823"/>
      <c r="G33" s="823"/>
      <c r="H33" s="823"/>
      <c r="I33" s="823"/>
      <c r="J33" s="823"/>
      <c r="K33" s="823"/>
      <c r="L33" s="823"/>
      <c r="M33" s="823"/>
      <c r="N33" s="823"/>
      <c r="O33" s="823"/>
      <c r="P33" s="823"/>
      <c r="Q33" s="823"/>
      <c r="R33" s="823"/>
      <c r="S33" s="804"/>
      <c r="U33" s="823"/>
      <c r="V33" s="823"/>
      <c r="W33" s="823"/>
      <c r="X33" s="823"/>
      <c r="Y33" s="804"/>
    </row>
    <row r="34" spans="1:27">
      <c r="A34" s="804"/>
      <c r="B34" s="638"/>
      <c r="C34" s="638"/>
      <c r="D34" s="638"/>
      <c r="E34" s="638"/>
      <c r="F34" s="640"/>
      <c r="G34" s="639"/>
      <c r="H34" s="638"/>
      <c r="I34" s="640"/>
      <c r="J34" s="640"/>
      <c r="K34" s="640"/>
      <c r="L34" s="640"/>
      <c r="M34" s="640"/>
      <c r="N34" s="640"/>
      <c r="O34" s="640"/>
      <c r="P34" s="640"/>
      <c r="Q34" s="640"/>
      <c r="R34" s="640"/>
      <c r="S34" s="804"/>
      <c r="U34" s="640"/>
      <c r="V34" s="640"/>
      <c r="W34" s="640"/>
      <c r="X34" s="640"/>
      <c r="Y34" s="804"/>
    </row>
    <row r="35" spans="1:27" ht="30" customHeight="1">
      <c r="A35" s="804"/>
      <c r="B35" s="2406" t="s">
        <v>12</v>
      </c>
      <c r="C35" s="2406" t="s">
        <v>748</v>
      </c>
      <c r="D35" s="2407" t="s">
        <v>730</v>
      </c>
      <c r="E35" s="2406" t="s">
        <v>749</v>
      </c>
      <c r="F35" s="2406" t="s">
        <v>731</v>
      </c>
      <c r="G35" s="2406" t="s">
        <v>762</v>
      </c>
      <c r="H35" s="2406" t="s">
        <v>692</v>
      </c>
      <c r="I35" s="2406" t="s">
        <v>693</v>
      </c>
      <c r="J35" s="2380" t="s">
        <v>691</v>
      </c>
      <c r="K35" s="2394" t="s">
        <v>751</v>
      </c>
      <c r="L35" s="2406" t="s">
        <v>752</v>
      </c>
      <c r="M35" s="2406" t="s">
        <v>753</v>
      </c>
      <c r="N35" s="2394" t="str">
        <f>"Лизинг прочего имущества "&amp;'0. Анкета'!C15-1&amp;" год, утверждено,тыс. руб."</f>
        <v>Лизинг прочего имущества 2023 год, утверждено,тыс. руб.</v>
      </c>
      <c r="O35" s="2395" t="str">
        <f>"Сумма лизинговых платежей  на "&amp;'0. Анкета'!C15&amp;" год, тыс. руб. (без НДС)"</f>
        <v>Сумма лизинговых платежей  на 2024 год, тыс. руб. (без НДС)</v>
      </c>
      <c r="P35" s="2395" t="str">
        <f>"Сумма лизинговых платежей - по договорам за "&amp;'0. Анкета'!C15&amp;" год, тыс. руб. (без НДС)"</f>
        <v>Сумма лизинговых платежей - по договорам за 2024 год, тыс. руб. (без НДС)</v>
      </c>
      <c r="Q35" s="2406" t="s">
        <v>737</v>
      </c>
      <c r="R35" s="807"/>
      <c r="S35" s="807"/>
      <c r="T35" s="807"/>
      <c r="U35" s="2413" t="s">
        <v>2221</v>
      </c>
      <c r="V35" s="2414"/>
      <c r="W35" s="807"/>
      <c r="X35" s="807"/>
      <c r="Y35" s="807"/>
      <c r="AA35" s="796"/>
    </row>
    <row r="36" spans="1:27" ht="13.15" customHeight="1">
      <c r="A36" s="804"/>
      <c r="B36" s="2406"/>
      <c r="C36" s="2406"/>
      <c r="D36" s="2408"/>
      <c r="E36" s="2406"/>
      <c r="F36" s="2406"/>
      <c r="G36" s="2406"/>
      <c r="H36" s="2406"/>
      <c r="I36" s="2406"/>
      <c r="J36" s="2381"/>
      <c r="K36" s="2394"/>
      <c r="L36" s="2406"/>
      <c r="M36" s="2406"/>
      <c r="N36" s="2394"/>
      <c r="O36" s="2396"/>
      <c r="P36" s="2396"/>
      <c r="Q36" s="2406"/>
      <c r="R36" s="807"/>
      <c r="S36" s="807"/>
      <c r="T36" s="807"/>
      <c r="U36" s="2394" t="s">
        <v>2181</v>
      </c>
      <c r="V36" s="2406" t="s">
        <v>747</v>
      </c>
      <c r="W36" s="807"/>
      <c r="X36" s="807"/>
      <c r="Y36" s="807"/>
      <c r="AA36" s="796"/>
    </row>
    <row r="37" spans="1:27">
      <c r="A37" s="804"/>
      <c r="B37" s="2406"/>
      <c r="C37" s="2406"/>
      <c r="D37" s="2409"/>
      <c r="E37" s="2406"/>
      <c r="F37" s="2406"/>
      <c r="G37" s="2406"/>
      <c r="H37" s="2406"/>
      <c r="I37" s="2406"/>
      <c r="J37" s="2382"/>
      <c r="K37" s="2394"/>
      <c r="L37" s="2406"/>
      <c r="M37" s="2406"/>
      <c r="N37" s="2394"/>
      <c r="O37" s="2397"/>
      <c r="P37" s="2397"/>
      <c r="Q37" s="2406"/>
      <c r="R37" s="807"/>
      <c r="S37" s="807"/>
      <c r="T37" s="807"/>
      <c r="U37" s="2394"/>
      <c r="V37" s="2406"/>
      <c r="W37" s="807"/>
      <c r="X37" s="807"/>
      <c r="Y37" s="807"/>
      <c r="AA37" s="796"/>
    </row>
    <row r="38" spans="1:27">
      <c r="A38" s="804"/>
      <c r="B38" s="760">
        <v>1</v>
      </c>
      <c r="C38" s="760">
        <f>B38+1</f>
        <v>2</v>
      </c>
      <c r="D38" s="760">
        <f>C38+1</f>
        <v>3</v>
      </c>
      <c r="E38" s="760">
        <f>D38+1</f>
        <v>4</v>
      </c>
      <c r="F38" s="760">
        <f t="shared" ref="F38:N38" si="6">E38+1</f>
        <v>5</v>
      </c>
      <c r="G38" s="760">
        <f t="shared" si="6"/>
        <v>6</v>
      </c>
      <c r="H38" s="760">
        <f t="shared" si="6"/>
        <v>7</v>
      </c>
      <c r="I38" s="760">
        <f>H38+1</f>
        <v>8</v>
      </c>
      <c r="J38" s="760">
        <f>I38+1</f>
        <v>9</v>
      </c>
      <c r="K38" s="760">
        <f>J38+1</f>
        <v>10</v>
      </c>
      <c r="L38" s="760">
        <f t="shared" si="6"/>
        <v>11</v>
      </c>
      <c r="M38" s="760">
        <f t="shared" si="6"/>
        <v>12</v>
      </c>
      <c r="N38" s="760">
        <f t="shared" si="6"/>
        <v>13</v>
      </c>
      <c r="O38" s="760">
        <f>N38+1</f>
        <v>14</v>
      </c>
      <c r="P38" s="760">
        <f>O38+1</f>
        <v>15</v>
      </c>
      <c r="Q38" s="760">
        <f>P38+1</f>
        <v>16</v>
      </c>
      <c r="R38" s="807"/>
      <c r="S38" s="807"/>
      <c r="T38" s="807"/>
      <c r="U38" s="760">
        <v>17</v>
      </c>
      <c r="V38" s="760">
        <f>U38+1</f>
        <v>18</v>
      </c>
      <c r="W38" s="807"/>
      <c r="X38" s="807"/>
      <c r="Y38" s="807"/>
      <c r="AA38" s="796"/>
    </row>
    <row r="39" spans="1:27" ht="24">
      <c r="A39" s="804"/>
      <c r="B39" s="761" t="s">
        <v>234</v>
      </c>
      <c r="C39" s="762" t="s">
        <v>763</v>
      </c>
      <c r="D39" s="797"/>
      <c r="E39" s="763"/>
      <c r="F39" s="763"/>
      <c r="G39" s="763"/>
      <c r="H39" s="764"/>
      <c r="I39" s="764"/>
      <c r="J39" s="763"/>
      <c r="K39" s="763"/>
      <c r="L39" s="811">
        <f>SUM(L40,L44)</f>
        <v>0</v>
      </c>
      <c r="M39" s="763"/>
      <c r="N39" s="766"/>
      <c r="O39" s="811">
        <f>SUM(O40,O44)</f>
        <v>0</v>
      </c>
      <c r="P39" s="811">
        <f>SUM(P40,P44)</f>
        <v>0</v>
      </c>
      <c r="Q39" s="768"/>
      <c r="R39" s="807"/>
      <c r="S39" s="807"/>
      <c r="T39" s="807"/>
      <c r="U39" s="811">
        <f>SUM(U40,U44)</f>
        <v>0</v>
      </c>
      <c r="V39" s="768"/>
      <c r="W39" s="807"/>
      <c r="X39" s="807"/>
      <c r="Y39" s="807"/>
      <c r="AA39" s="796"/>
    </row>
    <row r="40" spans="1:27">
      <c r="A40" s="804"/>
      <c r="B40" s="769" t="s">
        <v>267</v>
      </c>
      <c r="C40" s="770" t="s">
        <v>758</v>
      </c>
      <c r="D40" s="688"/>
      <c r="E40" s="771"/>
      <c r="F40" s="771"/>
      <c r="G40" s="771"/>
      <c r="H40" s="772"/>
      <c r="I40" s="772"/>
      <c r="J40" s="771"/>
      <c r="K40" s="771"/>
      <c r="L40" s="812">
        <f>SUM(L41:L43)</f>
        <v>0</v>
      </c>
      <c r="M40" s="771"/>
      <c r="N40" s="766"/>
      <c r="O40" s="812">
        <f>SUM(O41:O43)</f>
        <v>0</v>
      </c>
      <c r="P40" s="812">
        <f>SUM(P41:P43)</f>
        <v>0</v>
      </c>
      <c r="Q40" s="768"/>
      <c r="R40" s="807"/>
      <c r="S40" s="807"/>
      <c r="T40" s="807"/>
      <c r="U40" s="812">
        <f>SUM(U41:U43)</f>
        <v>0</v>
      </c>
      <c r="V40" s="768"/>
      <c r="W40" s="807"/>
      <c r="X40" s="807"/>
      <c r="Y40" s="807"/>
      <c r="AA40" s="796"/>
    </row>
    <row r="41" spans="1:27">
      <c r="A41" s="804"/>
      <c r="B41" s="775" t="str">
        <f>CONCATENATE(B$40,"",ROW()-ROW(B$40))</f>
        <v>1.1.1</v>
      </c>
      <c r="C41" s="766"/>
      <c r="D41" s="766"/>
      <c r="E41" s="766"/>
      <c r="F41" s="766"/>
      <c r="G41" s="766"/>
      <c r="H41" s="766"/>
      <c r="I41" s="766"/>
      <c r="J41" s="766"/>
      <c r="K41" s="766"/>
      <c r="L41" s="766"/>
      <c r="M41" s="766"/>
      <c r="N41" s="813"/>
      <c r="O41" s="766"/>
      <c r="P41" s="766"/>
      <c r="Q41" s="768"/>
      <c r="R41" s="807"/>
      <c r="S41" s="807"/>
      <c r="T41" s="807"/>
      <c r="U41" s="766"/>
      <c r="V41" s="768"/>
      <c r="W41" s="807"/>
      <c r="X41" s="807"/>
      <c r="Y41" s="807"/>
      <c r="AA41" s="796"/>
    </row>
    <row r="42" spans="1:27">
      <c r="A42" s="804"/>
      <c r="B42" s="775" t="str">
        <f>CONCATENATE(B$40,"",ROW()-ROW(B$40))</f>
        <v>1.1.2</v>
      </c>
      <c r="C42" s="766"/>
      <c r="D42" s="766"/>
      <c r="E42" s="766"/>
      <c r="F42" s="766"/>
      <c r="G42" s="766"/>
      <c r="H42" s="766"/>
      <c r="I42" s="766"/>
      <c r="J42" s="766"/>
      <c r="K42" s="766"/>
      <c r="L42" s="766"/>
      <c r="M42" s="766"/>
      <c r="N42" s="813"/>
      <c r="O42" s="766"/>
      <c r="P42" s="766"/>
      <c r="Q42" s="768"/>
      <c r="R42" s="807"/>
      <c r="S42" s="807"/>
      <c r="T42" s="807"/>
      <c r="U42" s="766"/>
      <c r="V42" s="768"/>
      <c r="W42" s="807"/>
      <c r="X42" s="807"/>
      <c r="Y42" s="807"/>
      <c r="AA42" s="796"/>
    </row>
    <row r="43" spans="1:27">
      <c r="A43" s="804"/>
      <c r="B43" s="780"/>
      <c r="C43" s="473" t="s">
        <v>7</v>
      </c>
      <c r="D43" s="780"/>
      <c r="E43" s="780"/>
      <c r="F43" s="780"/>
      <c r="G43" s="781"/>
      <c r="H43" s="781"/>
      <c r="I43" s="781"/>
      <c r="J43" s="781"/>
      <c r="K43" s="781"/>
      <c r="L43" s="781"/>
      <c r="M43" s="781"/>
      <c r="N43" s="781"/>
      <c r="O43" s="781"/>
      <c r="P43" s="781"/>
      <c r="Q43" s="785"/>
      <c r="R43" s="807"/>
      <c r="S43" s="807"/>
      <c r="T43" s="807"/>
      <c r="U43" s="781"/>
      <c r="V43" s="785"/>
      <c r="W43" s="807"/>
      <c r="X43" s="807"/>
      <c r="Y43" s="807"/>
      <c r="AA43" s="796"/>
    </row>
    <row r="44" spans="1:27">
      <c r="A44" s="804"/>
      <c r="B44" s="769" t="s">
        <v>269</v>
      </c>
      <c r="C44" s="770" t="s">
        <v>759</v>
      </c>
      <c r="D44" s="688"/>
      <c r="E44" s="771"/>
      <c r="F44" s="771"/>
      <c r="G44" s="771"/>
      <c r="H44" s="772"/>
      <c r="I44" s="772"/>
      <c r="J44" s="771"/>
      <c r="K44" s="771"/>
      <c r="L44" s="812">
        <f>SUM(L45:L47)</f>
        <v>0</v>
      </c>
      <c r="M44" s="771"/>
      <c r="N44" s="766"/>
      <c r="O44" s="812">
        <f>SUM(O45:O47)</f>
        <v>0</v>
      </c>
      <c r="P44" s="812">
        <f>SUM(P45:P47)</f>
        <v>0</v>
      </c>
      <c r="Q44" s="768"/>
      <c r="R44" s="807"/>
      <c r="S44" s="807"/>
      <c r="T44" s="807"/>
      <c r="U44" s="812">
        <f>SUM(U45:U47)</f>
        <v>0</v>
      </c>
      <c r="V44" s="768"/>
      <c r="W44" s="807"/>
      <c r="X44" s="807"/>
      <c r="Y44" s="807"/>
      <c r="AA44" s="796"/>
    </row>
    <row r="45" spans="1:27">
      <c r="A45" s="804"/>
      <c r="B45" s="775" t="str">
        <f>CONCATENATE(B$44,"",ROW()-ROW(B$44))</f>
        <v>1.2.1</v>
      </c>
      <c r="C45" s="766"/>
      <c r="D45" s="766"/>
      <c r="E45" s="766"/>
      <c r="F45" s="766"/>
      <c r="G45" s="766"/>
      <c r="H45" s="766"/>
      <c r="I45" s="766"/>
      <c r="J45" s="766"/>
      <c r="K45" s="766"/>
      <c r="L45" s="766"/>
      <c r="M45" s="766"/>
      <c r="N45" s="813"/>
      <c r="O45" s="766"/>
      <c r="P45" s="766"/>
      <c r="Q45" s="768"/>
      <c r="R45" s="807"/>
      <c r="S45" s="807"/>
      <c r="T45" s="807"/>
      <c r="U45" s="766"/>
      <c r="V45" s="768"/>
      <c r="W45" s="807"/>
      <c r="X45" s="807"/>
      <c r="Y45" s="807"/>
      <c r="AA45" s="796"/>
    </row>
    <row r="46" spans="1:27">
      <c r="A46" s="804"/>
      <c r="B46" s="775" t="str">
        <f>CONCATENATE(B$44,"",ROW()-ROW(B$44))</f>
        <v>1.2.2</v>
      </c>
      <c r="C46" s="766"/>
      <c r="D46" s="766"/>
      <c r="E46" s="766"/>
      <c r="F46" s="766"/>
      <c r="G46" s="766"/>
      <c r="H46" s="766"/>
      <c r="I46" s="766"/>
      <c r="J46" s="766"/>
      <c r="K46" s="766"/>
      <c r="L46" s="766"/>
      <c r="M46" s="766"/>
      <c r="N46" s="813"/>
      <c r="O46" s="766"/>
      <c r="P46" s="766"/>
      <c r="Q46" s="768"/>
      <c r="R46" s="807"/>
      <c r="S46" s="807"/>
      <c r="T46" s="807"/>
      <c r="U46" s="766"/>
      <c r="V46" s="768"/>
      <c r="W46" s="807"/>
      <c r="X46" s="807"/>
      <c r="Y46" s="807"/>
      <c r="AA46" s="796"/>
    </row>
    <row r="47" spans="1:27">
      <c r="A47" s="804"/>
      <c r="B47" s="780"/>
      <c r="C47" s="473" t="s">
        <v>7</v>
      </c>
      <c r="D47" s="780"/>
      <c r="E47" s="780"/>
      <c r="F47" s="780"/>
      <c r="G47" s="781"/>
      <c r="H47" s="781"/>
      <c r="I47" s="781"/>
      <c r="J47" s="781"/>
      <c r="K47" s="781"/>
      <c r="L47" s="781"/>
      <c r="M47" s="781"/>
      <c r="N47" s="781"/>
      <c r="O47" s="781"/>
      <c r="P47" s="781"/>
      <c r="Q47" s="785"/>
      <c r="R47" s="807"/>
      <c r="S47" s="807"/>
      <c r="T47" s="807"/>
      <c r="U47" s="781"/>
      <c r="V47" s="785"/>
      <c r="W47" s="807"/>
      <c r="X47" s="807"/>
      <c r="Y47" s="807"/>
      <c r="AA47" s="796"/>
    </row>
    <row r="48" spans="1:27" ht="24">
      <c r="A48" s="804"/>
      <c r="B48" s="761" t="s">
        <v>237</v>
      </c>
      <c r="C48" s="762" t="s">
        <v>764</v>
      </c>
      <c r="D48" s="797"/>
      <c r="E48" s="763"/>
      <c r="F48" s="763"/>
      <c r="G48" s="763"/>
      <c r="H48" s="764"/>
      <c r="I48" s="764"/>
      <c r="J48" s="763"/>
      <c r="K48" s="763"/>
      <c r="L48" s="816"/>
      <c r="M48" s="763"/>
      <c r="N48" s="766"/>
      <c r="O48" s="811">
        <f>SUM(O49:O51)</f>
        <v>0</v>
      </c>
      <c r="P48" s="811">
        <f>SUM(P49:P51)</f>
        <v>0</v>
      </c>
      <c r="Q48" s="768"/>
      <c r="R48" s="807"/>
      <c r="S48" s="807"/>
      <c r="T48" s="807"/>
      <c r="U48" s="811">
        <f>SUM(U49:U51)</f>
        <v>0</v>
      </c>
      <c r="V48" s="768"/>
      <c r="W48" s="807"/>
      <c r="X48" s="807"/>
      <c r="Y48" s="807"/>
      <c r="AA48" s="796"/>
    </row>
    <row r="49" spans="1:27">
      <c r="A49" s="804"/>
      <c r="B49" s="775" t="str">
        <f>CONCATENATE(B$48,"",ROW()-ROW(B$48))</f>
        <v>2.1</v>
      </c>
      <c r="C49" s="766"/>
      <c r="D49" s="766"/>
      <c r="E49" s="766"/>
      <c r="F49" s="766"/>
      <c r="G49" s="766"/>
      <c r="H49" s="766"/>
      <c r="I49" s="766"/>
      <c r="J49" s="766"/>
      <c r="K49" s="766"/>
      <c r="L49" s="818"/>
      <c r="M49" s="766"/>
      <c r="N49" s="813"/>
      <c r="O49" s="766"/>
      <c r="P49" s="766"/>
      <c r="Q49" s="768"/>
      <c r="R49" s="807"/>
      <c r="S49" s="807"/>
      <c r="T49" s="807"/>
      <c r="U49" s="766"/>
      <c r="V49" s="768"/>
      <c r="W49" s="807"/>
      <c r="X49" s="807"/>
      <c r="Y49" s="807"/>
      <c r="AA49" s="796"/>
    </row>
    <row r="50" spans="1:27">
      <c r="A50" s="804"/>
      <c r="B50" s="775" t="str">
        <f>CONCATENATE(B$48,"",ROW()-ROW(B$48))</f>
        <v>2.2</v>
      </c>
      <c r="C50" s="766"/>
      <c r="D50" s="766"/>
      <c r="E50" s="766"/>
      <c r="F50" s="766"/>
      <c r="G50" s="766"/>
      <c r="H50" s="766"/>
      <c r="I50" s="766"/>
      <c r="J50" s="766"/>
      <c r="K50" s="766"/>
      <c r="L50" s="818"/>
      <c r="M50" s="766"/>
      <c r="N50" s="813"/>
      <c r="O50" s="766"/>
      <c r="P50" s="766"/>
      <c r="Q50" s="768"/>
      <c r="R50" s="807"/>
      <c r="S50" s="807"/>
      <c r="T50" s="807"/>
      <c r="U50" s="766"/>
      <c r="V50" s="768"/>
      <c r="W50" s="807"/>
      <c r="X50" s="807"/>
      <c r="Y50" s="807"/>
      <c r="AA50" s="796"/>
    </row>
    <row r="51" spans="1:27">
      <c r="A51" s="804"/>
      <c r="B51" s="780"/>
      <c r="C51" s="473" t="s">
        <v>7</v>
      </c>
      <c r="D51" s="780"/>
      <c r="E51" s="780"/>
      <c r="F51" s="780"/>
      <c r="G51" s="781"/>
      <c r="H51" s="781"/>
      <c r="I51" s="781"/>
      <c r="J51" s="781"/>
      <c r="K51" s="781"/>
      <c r="L51" s="781"/>
      <c r="M51" s="781"/>
      <c r="N51" s="781"/>
      <c r="O51" s="781"/>
      <c r="P51" s="781"/>
      <c r="Q51" s="785"/>
      <c r="R51" s="807"/>
      <c r="S51" s="807"/>
      <c r="T51" s="807"/>
      <c r="U51" s="781"/>
      <c r="V51" s="785"/>
      <c r="W51" s="807"/>
      <c r="X51" s="807"/>
      <c r="Y51" s="807"/>
      <c r="AA51" s="796"/>
    </row>
    <row r="52" spans="1:27">
      <c r="A52" s="804"/>
      <c r="B52" s="761" t="s">
        <v>239</v>
      </c>
      <c r="C52" s="762" t="s">
        <v>765</v>
      </c>
      <c r="D52" s="797"/>
      <c r="E52" s="763"/>
      <c r="F52" s="763"/>
      <c r="G52" s="763"/>
      <c r="H52" s="764"/>
      <c r="I52" s="764"/>
      <c r="J52" s="763"/>
      <c r="K52" s="763"/>
      <c r="L52" s="816"/>
      <c r="M52" s="763"/>
      <c r="N52" s="766"/>
      <c r="O52" s="811">
        <f>SUM(O53:O55)</f>
        <v>0</v>
      </c>
      <c r="P52" s="811">
        <f>SUM(P53:P55)</f>
        <v>0</v>
      </c>
      <c r="Q52" s="768"/>
      <c r="R52" s="807"/>
      <c r="S52" s="807"/>
      <c r="T52" s="807"/>
      <c r="U52" s="811">
        <f>SUM(U53:U55)</f>
        <v>0</v>
      </c>
      <c r="V52" s="768"/>
      <c r="W52" s="807"/>
      <c r="X52" s="807"/>
      <c r="Y52" s="807"/>
      <c r="AA52" s="796"/>
    </row>
    <row r="53" spans="1:27">
      <c r="A53" s="804"/>
      <c r="B53" s="775" t="str">
        <f>CONCATENATE(B$52,"",ROW()-ROW(B$52))</f>
        <v>3.1</v>
      </c>
      <c r="C53" s="766"/>
      <c r="D53" s="766"/>
      <c r="E53" s="766"/>
      <c r="F53" s="766"/>
      <c r="G53" s="766"/>
      <c r="H53" s="766"/>
      <c r="I53" s="766"/>
      <c r="J53" s="766"/>
      <c r="K53" s="766"/>
      <c r="L53" s="818"/>
      <c r="M53" s="766"/>
      <c r="N53" s="813"/>
      <c r="O53" s="766"/>
      <c r="P53" s="766"/>
      <c r="Q53" s="768"/>
      <c r="R53" s="807"/>
      <c r="S53" s="807"/>
      <c r="T53" s="807"/>
      <c r="U53" s="766"/>
      <c r="V53" s="768"/>
      <c r="W53" s="807"/>
      <c r="X53" s="807"/>
      <c r="Y53" s="807"/>
      <c r="AA53" s="796"/>
    </row>
    <row r="54" spans="1:27">
      <c r="A54" s="804"/>
      <c r="B54" s="775" t="str">
        <f>CONCATENATE(B$52,"",ROW()-ROW(B$52))</f>
        <v>3.2</v>
      </c>
      <c r="C54" s="766"/>
      <c r="D54" s="766"/>
      <c r="E54" s="766"/>
      <c r="F54" s="766"/>
      <c r="G54" s="766"/>
      <c r="H54" s="766"/>
      <c r="I54" s="766"/>
      <c r="J54" s="766"/>
      <c r="K54" s="766"/>
      <c r="L54" s="818"/>
      <c r="M54" s="766"/>
      <c r="N54" s="813"/>
      <c r="O54" s="766"/>
      <c r="P54" s="766"/>
      <c r="Q54" s="768"/>
      <c r="R54" s="807"/>
      <c r="S54" s="807"/>
      <c r="T54" s="807"/>
      <c r="U54" s="766"/>
      <c r="V54" s="768"/>
      <c r="W54" s="807"/>
      <c r="X54" s="807"/>
      <c r="Y54" s="807"/>
    </row>
    <row r="55" spans="1:27">
      <c r="A55" s="804"/>
      <c r="B55" s="780"/>
      <c r="C55" s="473" t="s">
        <v>7</v>
      </c>
      <c r="D55" s="780"/>
      <c r="E55" s="780"/>
      <c r="F55" s="780"/>
      <c r="G55" s="781"/>
      <c r="H55" s="781"/>
      <c r="I55" s="781"/>
      <c r="J55" s="781"/>
      <c r="K55" s="781"/>
      <c r="L55" s="781"/>
      <c r="M55" s="781"/>
      <c r="N55" s="781"/>
      <c r="O55" s="781"/>
      <c r="P55" s="781"/>
      <c r="Q55" s="785"/>
      <c r="R55" s="807"/>
      <c r="S55" s="807"/>
      <c r="T55" s="807"/>
      <c r="U55" s="781"/>
      <c r="V55" s="785"/>
      <c r="W55" s="807"/>
      <c r="X55" s="807"/>
      <c r="Y55" s="807"/>
    </row>
    <row r="56" spans="1:27">
      <c r="A56" s="804"/>
      <c r="B56" s="801"/>
      <c r="C56" s="802" t="s">
        <v>497</v>
      </c>
      <c r="D56" s="801"/>
      <c r="E56" s="758"/>
      <c r="F56" s="758"/>
      <c r="G56" s="758"/>
      <c r="H56" s="758"/>
      <c r="I56" s="758"/>
      <c r="J56" s="758"/>
      <c r="K56" s="758"/>
      <c r="L56" s="793">
        <f>L39</f>
        <v>0</v>
      </c>
      <c r="M56" s="758"/>
      <c r="N56" s="766"/>
      <c r="O56" s="793">
        <f>O39+O48+O52</f>
        <v>0</v>
      </c>
      <c r="P56" s="793">
        <f>P39+P48+P52</f>
        <v>0</v>
      </c>
      <c r="Q56" s="794"/>
      <c r="R56" s="804"/>
      <c r="S56" s="804"/>
      <c r="T56" s="804"/>
      <c r="U56" s="793">
        <f>U39+U48+U52</f>
        <v>0</v>
      </c>
      <c r="V56" s="794"/>
      <c r="W56" s="804"/>
      <c r="X56" s="804"/>
      <c r="Y56" s="804"/>
    </row>
    <row r="58" spans="1:27" hidden="1">
      <c r="B58" s="677" t="s">
        <v>9</v>
      </c>
    </row>
    <row r="59" spans="1:27">
      <c r="B59" s="2306"/>
      <c r="C59" s="2306"/>
      <c r="D59" s="2306"/>
      <c r="E59" s="2306"/>
      <c r="F59" s="2306"/>
    </row>
    <row r="60" spans="1:27">
      <c r="B60" s="742"/>
    </row>
    <row r="61" spans="1:27">
      <c r="C61" s="750" t="s">
        <v>9</v>
      </c>
    </row>
    <row r="62" spans="1:27">
      <c r="C62" s="700" t="s">
        <v>2179</v>
      </c>
    </row>
    <row r="63" spans="1:27">
      <c r="C63" s="700" t="s">
        <v>725</v>
      </c>
    </row>
    <row r="64" spans="1:27">
      <c r="C64" s="700" t="s">
        <v>726</v>
      </c>
    </row>
  </sheetData>
  <sheetProtection formatColumns="0" formatRows="0" insertHyperlinks="0"/>
  <mergeCells count="45">
    <mergeCell ref="U35:V35"/>
    <mergeCell ref="U36:U37"/>
    <mergeCell ref="V36:V37"/>
    <mergeCell ref="B59:F59"/>
    <mergeCell ref="K35:K37"/>
    <mergeCell ref="L35:L37"/>
    <mergeCell ref="M35:M37"/>
    <mergeCell ref="N35:N37"/>
    <mergeCell ref="O35:O37"/>
    <mergeCell ref="P35:P37"/>
    <mergeCell ref="B32:S32"/>
    <mergeCell ref="B35:B37"/>
    <mergeCell ref="C35:C37"/>
    <mergeCell ref="D35:D37"/>
    <mergeCell ref="E35:E37"/>
    <mergeCell ref="F35:F37"/>
    <mergeCell ref="G35:G37"/>
    <mergeCell ref="H35:H37"/>
    <mergeCell ref="I35:I37"/>
    <mergeCell ref="J35:J37"/>
    <mergeCell ref="Q35:Q37"/>
    <mergeCell ref="T6:T8"/>
    <mergeCell ref="U6:Z6"/>
    <mergeCell ref="N7:N8"/>
    <mergeCell ref="O7:O8"/>
    <mergeCell ref="P7:S7"/>
    <mergeCell ref="U7:U8"/>
    <mergeCell ref="V7:Y7"/>
    <mergeCell ref="Z7:Z8"/>
    <mergeCell ref="N6:S6"/>
    <mergeCell ref="A1:C1"/>
    <mergeCell ref="E3:G3"/>
    <mergeCell ref="B4:S4"/>
    <mergeCell ref="B6:B8"/>
    <mergeCell ref="C6:C8"/>
    <mergeCell ref="D6:D8"/>
    <mergeCell ref="E6:E8"/>
    <mergeCell ref="F6:F8"/>
    <mergeCell ref="G6:G8"/>
    <mergeCell ref="H6:H8"/>
    <mergeCell ref="I6:I8"/>
    <mergeCell ref="J6:J8"/>
    <mergeCell ref="K6:K8"/>
    <mergeCell ref="L6:L8"/>
    <mergeCell ref="M6:M8"/>
  </mergeCells>
  <hyperlinks>
    <hyperlink ref="A1" location="'Перечень форм для заполнения'!A1" display="Вернуться к перечню форм"/>
    <hyperlink ref="C14" location="'17 (ар.+лиз. проч. им. на-план)'!A1" tooltip="Добавить сведения по аренде" display="Добавить"/>
    <hyperlink ref="C18" location="'17 (ар.+лиз. проч. им. на-план)'!A1" tooltip="Добавить сведения по аренде" display="Добавить"/>
    <hyperlink ref="C22" location="'17 (ар.+лиз. проч. им. на-план)'!A1" tooltip="Добавить сведения по аренде" display="Добавить"/>
    <hyperlink ref="C26" location="'17 (ар.+лиз. проч. им. на-план)'!A1" tooltip="Добавить сведения по аренде" display="Добавить"/>
    <hyperlink ref="C43" location="'17 (ар.+лиз. проч. им. на-план)'!A1" display="Добавить"/>
    <hyperlink ref="C47" location="'17 (ар.+лиз. проч. им. на-план)'!A1" display="Добавить"/>
    <hyperlink ref="C51" location="'17 (ар.+лиз. проч. им. на-план)'!A1" display="Добавить"/>
    <hyperlink ref="C55" location="'17 (ар.+лиз. проч. им. на-план)'!A1" display="Добавить"/>
  </hyperlinks>
  <pageMargins left="0.70866141732283472" right="0.70866141732283472" top="0.74803149606299213" bottom="0.74803149606299213" header="0.31496062992125984" footer="0.31496062992125984"/>
  <pageSetup paperSize="9" scale="39" fitToHeight="2" orientation="landscape" r:id="rId1"/>
  <rowBreaks count="1" manualBreakCount="1">
    <brk id="2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92D050"/>
    <pageSetUpPr fitToPage="1"/>
  </sheetPr>
  <dimension ref="A1:W32"/>
  <sheetViews>
    <sheetView showGridLines="0" zoomScale="70" zoomScaleNormal="70" zoomScaleSheetLayoutView="85" workbookViewId="0">
      <selection activeCell="J13" sqref="J13"/>
    </sheetView>
  </sheetViews>
  <sheetFormatPr defaultColWidth="9.140625" defaultRowHeight="12.75" outlineLevelCol="1"/>
  <cols>
    <col min="1" max="1" width="3.7109375" style="827" customWidth="1"/>
    <col min="2" max="2" width="2.42578125" style="827" hidden="1" customWidth="1"/>
    <col min="3" max="3" width="8.85546875" style="827" customWidth="1"/>
    <col min="4" max="4" width="31.140625" style="827" customWidth="1"/>
    <col min="5" max="5" width="23.7109375" style="827" customWidth="1"/>
    <col min="6" max="6" width="13.42578125" style="827" customWidth="1"/>
    <col min="7" max="10" width="20.85546875" style="827" customWidth="1"/>
    <col min="11" max="11" width="22.140625" style="827" customWidth="1"/>
    <col min="12" max="13" width="20.85546875" style="827" customWidth="1"/>
    <col min="14" max="14" width="22.42578125" style="827" customWidth="1"/>
    <col min="15" max="15" width="15.7109375" style="827" customWidth="1"/>
    <col min="16" max="16" width="15.28515625" style="827" customWidth="1"/>
    <col min="17" max="17" width="33.7109375" style="827" customWidth="1"/>
    <col min="18" max="18" width="5" style="827" hidden="1" customWidth="1"/>
    <col min="19" max="20" width="13" style="827" hidden="1" customWidth="1" outlineLevel="1"/>
    <col min="21" max="21" width="13.42578125" style="827" hidden="1" customWidth="1" outlineLevel="1"/>
    <col min="22" max="22" width="0" style="827" hidden="1" customWidth="1" outlineLevel="1"/>
    <col min="23" max="23" width="9.140625" style="827" collapsed="1"/>
    <col min="24" max="16384" width="9.140625" style="827"/>
  </cols>
  <sheetData>
    <row r="1" spans="1:21">
      <c r="A1" s="210" t="s">
        <v>210</v>
      </c>
      <c r="B1" s="210"/>
      <c r="E1" s="212"/>
      <c r="F1" s="212"/>
      <c r="G1" s="212"/>
      <c r="H1" s="212"/>
      <c r="I1" s="212"/>
      <c r="J1" s="212"/>
      <c r="K1" s="212"/>
      <c r="L1" s="212"/>
      <c r="M1" s="212"/>
      <c r="N1" s="212"/>
      <c r="O1" s="212"/>
      <c r="P1" s="212"/>
      <c r="Q1" s="212"/>
    </row>
    <row r="2" spans="1:21" ht="18.75">
      <c r="C2" s="920"/>
      <c r="E2" s="212"/>
      <c r="F2" s="212"/>
      <c r="G2" s="212"/>
      <c r="H2" s="212"/>
      <c r="I2" s="212"/>
      <c r="J2" s="212"/>
      <c r="K2" s="212"/>
      <c r="L2" s="212"/>
      <c r="M2" s="212"/>
      <c r="N2" s="212"/>
      <c r="O2" s="212"/>
      <c r="P2" s="921"/>
      <c r="Q2" s="505"/>
    </row>
    <row r="4" spans="1:21" ht="38.25" customHeight="1">
      <c r="C4" s="2415" t="s">
        <v>836</v>
      </c>
      <c r="D4" s="2416"/>
      <c r="E4" s="2416"/>
      <c r="F4" s="2416"/>
      <c r="G4" s="2416"/>
      <c r="H4" s="2416"/>
      <c r="I4" s="2416"/>
      <c r="J4" s="2416"/>
      <c r="K4" s="2416"/>
      <c r="L4" s="2416"/>
      <c r="M4" s="2416"/>
      <c r="N4" s="2416"/>
      <c r="O4" s="2416"/>
      <c r="P4" s="2416"/>
      <c r="Q4" s="2416"/>
    </row>
    <row r="5" spans="1:21" ht="15.75">
      <c r="C5" s="922"/>
      <c r="D5" s="860"/>
      <c r="E5" s="860"/>
      <c r="F5" s="860"/>
      <c r="G5" s="860"/>
      <c r="H5" s="860"/>
      <c r="I5" s="860"/>
      <c r="J5" s="860"/>
      <c r="K5" s="860"/>
      <c r="L5" s="860"/>
      <c r="M5" s="860"/>
      <c r="N5" s="860"/>
      <c r="O5" s="860"/>
      <c r="P5" s="860"/>
      <c r="Q5" s="860"/>
    </row>
    <row r="6" spans="1:21">
      <c r="C6" s="236"/>
      <c r="D6" s="923"/>
      <c r="E6" s="923"/>
      <c r="F6" s="923"/>
      <c r="G6" s="923"/>
      <c r="H6" s="923"/>
      <c r="I6" s="923"/>
      <c r="J6" s="923"/>
      <c r="K6" s="923"/>
      <c r="L6" s="923"/>
      <c r="M6" s="923"/>
      <c r="N6" s="923"/>
      <c r="O6" s="236"/>
      <c r="P6" s="236"/>
      <c r="Q6" s="924"/>
    </row>
    <row r="7" spans="1:21" ht="12.75" customHeight="1">
      <c r="C7" s="2331" t="s">
        <v>12</v>
      </c>
      <c r="D7" s="2335" t="s">
        <v>604</v>
      </c>
      <c r="E7" s="2335" t="s">
        <v>506</v>
      </c>
      <c r="F7" s="2301" t="str">
        <f>'0. Анкета'!C15-2&amp;",  утверждено"</f>
        <v>2022,  утверждено</v>
      </c>
      <c r="G7" s="2301" t="str">
        <f>'0. Анкета'!C15-2&amp;" факт (отражен в отчете об исполнении сметы расходов)"</f>
        <v>2022 факт (отражен в отчете об исполнении сметы расходов)</v>
      </c>
      <c r="H7" s="2417" t="str">
        <f>'0. Анкета'!C15-2&amp;" факт, подтвержденный первичными документами (договоры/акты и пр.)"</f>
        <v>2022 факт, подтвержденный первичными документами (договоры/акты и пр.)</v>
      </c>
      <c r="I7" s="2419" t="str">
        <f>'0. Анкета'!C15-2&amp;" факт, подтвержденный  бухгалтерскими документами (оборотно-сальдовые ведомости, карточки счетов)"</f>
        <v>2022 факт, подтвержденный  бухгалтерскими документами (оборотно-сальдовые ведомости, карточки счетов)</v>
      </c>
      <c r="J7" s="2420"/>
      <c r="K7" s="2420"/>
      <c r="L7" s="2420"/>
      <c r="M7" s="2420"/>
      <c r="N7" s="2421"/>
      <c r="O7" s="2301" t="str">
        <f>'0. Анкета'!C15-1&amp;",  утверждено"</f>
        <v>2023,  утверждено</v>
      </c>
      <c r="P7" s="2301" t="str">
        <f>'0. Анкета'!C15&amp;",  предложение"</f>
        <v>2024,  предложение</v>
      </c>
      <c r="Q7" s="2301" t="s">
        <v>605</v>
      </c>
      <c r="S7" s="2301" t="str">
        <f>'0. Анкета'!C15-2&amp;",  факт Регулятор"</f>
        <v>2022,  факт Регулятор</v>
      </c>
      <c r="T7" s="2301" t="str">
        <f>'0. Анкета'!C15&amp;",  предложение Регулятора"</f>
        <v>2024,  предложение Регулятора</v>
      </c>
      <c r="U7" s="2303" t="s">
        <v>2220</v>
      </c>
    </row>
    <row r="8" spans="1:21" ht="67.900000000000006" customHeight="1">
      <c r="C8" s="2331"/>
      <c r="D8" s="2335"/>
      <c r="E8" s="2335"/>
      <c r="F8" s="2302"/>
      <c r="G8" s="2302"/>
      <c r="H8" s="2418"/>
      <c r="I8" s="925" t="s">
        <v>172</v>
      </c>
      <c r="J8" s="925" t="s">
        <v>413</v>
      </c>
      <c r="K8" s="926" t="s">
        <v>414</v>
      </c>
      <c r="L8" s="926" t="s">
        <v>415</v>
      </c>
      <c r="M8" s="926" t="s">
        <v>416</v>
      </c>
      <c r="N8" s="926" t="s">
        <v>415</v>
      </c>
      <c r="O8" s="2302"/>
      <c r="P8" s="2302"/>
      <c r="Q8" s="2302"/>
      <c r="S8" s="2302"/>
      <c r="T8" s="2302"/>
      <c r="U8" s="2304"/>
    </row>
    <row r="9" spans="1:21">
      <c r="C9" s="2331"/>
      <c r="D9" s="2335"/>
      <c r="E9" s="2335"/>
      <c r="F9" s="398" t="s">
        <v>226</v>
      </c>
      <c r="G9" s="398" t="s">
        <v>226</v>
      </c>
      <c r="H9" s="398" t="s">
        <v>226</v>
      </c>
      <c r="I9" s="398" t="s">
        <v>226</v>
      </c>
      <c r="J9" s="398" t="s">
        <v>226</v>
      </c>
      <c r="K9" s="398" t="s">
        <v>226</v>
      </c>
      <c r="L9" s="398" t="s">
        <v>268</v>
      </c>
      <c r="M9" s="398" t="s">
        <v>226</v>
      </c>
      <c r="N9" s="398" t="s">
        <v>268</v>
      </c>
      <c r="O9" s="398" t="s">
        <v>226</v>
      </c>
      <c r="P9" s="398" t="s">
        <v>226</v>
      </c>
      <c r="Q9" s="927"/>
      <c r="S9" s="398" t="s">
        <v>226</v>
      </c>
      <c r="T9" s="398" t="s">
        <v>226</v>
      </c>
      <c r="U9" s="2305"/>
    </row>
    <row r="10" spans="1:21">
      <c r="C10" s="928">
        <v>1</v>
      </c>
      <c r="D10" s="929">
        <f>C10+1</f>
        <v>2</v>
      </c>
      <c r="E10" s="929">
        <f t="shared" ref="E10:Q10" si="0">D10+1</f>
        <v>3</v>
      </c>
      <c r="F10" s="929">
        <f t="shared" si="0"/>
        <v>4</v>
      </c>
      <c r="G10" s="929">
        <f t="shared" si="0"/>
        <v>5</v>
      </c>
      <c r="H10" s="929">
        <f t="shared" si="0"/>
        <v>6</v>
      </c>
      <c r="I10" s="929">
        <f t="shared" si="0"/>
        <v>7</v>
      </c>
      <c r="J10" s="929">
        <f t="shared" si="0"/>
        <v>8</v>
      </c>
      <c r="K10" s="929">
        <f t="shared" si="0"/>
        <v>9</v>
      </c>
      <c r="L10" s="929">
        <v>10</v>
      </c>
      <c r="M10" s="929">
        <v>11</v>
      </c>
      <c r="N10" s="929">
        <v>12</v>
      </c>
      <c r="O10" s="929">
        <f t="shared" si="0"/>
        <v>13</v>
      </c>
      <c r="P10" s="929">
        <f t="shared" si="0"/>
        <v>14</v>
      </c>
      <c r="Q10" s="929">
        <f t="shared" si="0"/>
        <v>15</v>
      </c>
      <c r="S10" s="401" t="s">
        <v>417</v>
      </c>
      <c r="T10" s="401" t="s">
        <v>418</v>
      </c>
      <c r="U10" s="400">
        <v>19</v>
      </c>
    </row>
    <row r="11" spans="1:21" ht="25.5">
      <c r="C11" s="930" t="s">
        <v>234</v>
      </c>
      <c r="D11" s="931" t="s">
        <v>837</v>
      </c>
      <c r="E11" s="932"/>
      <c r="F11" s="933">
        <f t="shared" ref="F11:K11" si="1">SUBTOTAL(9,F12:F24)</f>
        <v>0</v>
      </c>
      <c r="G11" s="934">
        <f t="shared" si="1"/>
        <v>0</v>
      </c>
      <c r="H11" s="933">
        <f t="shared" si="1"/>
        <v>0</v>
      </c>
      <c r="I11" s="934">
        <f t="shared" si="1"/>
        <v>0</v>
      </c>
      <c r="J11" s="934">
        <f t="shared" si="1"/>
        <v>0</v>
      </c>
      <c r="K11" s="934">
        <f t="shared" si="1"/>
        <v>0</v>
      </c>
      <c r="L11" s="558"/>
      <c r="M11" s="934">
        <f>SUBTOTAL(9,M12:M24)</f>
        <v>0</v>
      </c>
      <c r="N11" s="558"/>
      <c r="O11" s="933">
        <f>SUBTOTAL(9,O12:O24)</f>
        <v>0</v>
      </c>
      <c r="P11" s="934">
        <f>SUBTOTAL(9,P12:P24)</f>
        <v>0</v>
      </c>
      <c r="Q11" s="406"/>
      <c r="S11" s="934">
        <f>SUBTOTAL(9,S12:S24)</f>
        <v>0</v>
      </c>
      <c r="T11" s="934">
        <f>SUBTOTAL(9,T12:T24)</f>
        <v>0</v>
      </c>
      <c r="U11" s="406"/>
    </row>
    <row r="12" spans="1:21" ht="25.5">
      <c r="C12" s="930" t="s">
        <v>267</v>
      </c>
      <c r="D12" s="935" t="s">
        <v>838</v>
      </c>
      <c r="E12" s="932"/>
      <c r="F12" s="936">
        <f>'19 (кредиты)'!H9</f>
        <v>0</v>
      </c>
      <c r="G12" s="936">
        <f>'19 (кредиты)'!H20</f>
        <v>0</v>
      </c>
      <c r="H12" s="562"/>
      <c r="I12" s="936">
        <f>J12+K12+M12</f>
        <v>0</v>
      </c>
      <c r="J12" s="562"/>
      <c r="K12" s="562"/>
      <c r="L12" s="558"/>
      <c r="M12" s="562"/>
      <c r="N12" s="558"/>
      <c r="O12" s="936">
        <f>'19 (кредиты)'!H31</f>
        <v>0</v>
      </c>
      <c r="P12" s="936">
        <f>'19 (кредиты)'!H41</f>
        <v>0</v>
      </c>
      <c r="Q12" s="406"/>
      <c r="S12" s="562"/>
      <c r="T12" s="562"/>
      <c r="U12" s="406"/>
    </row>
    <row r="13" spans="1:21" ht="51">
      <c r="B13" s="827">
        <v>2</v>
      </c>
      <c r="C13" s="606" t="str">
        <f>CONCATENATE(C$11,B13)</f>
        <v>1.2</v>
      </c>
      <c r="D13" s="935" t="s">
        <v>839</v>
      </c>
      <c r="E13" s="932"/>
      <c r="F13" s="936">
        <f>'19 (кредиты)'!J9</f>
        <v>0</v>
      </c>
      <c r="G13" s="936">
        <f>'19 (кредиты)'!J20</f>
        <v>0</v>
      </c>
      <c r="H13" s="562"/>
      <c r="I13" s="936">
        <f>J13+K13+M13</f>
        <v>0</v>
      </c>
      <c r="J13" s="562"/>
      <c r="K13" s="562"/>
      <c r="L13" s="558"/>
      <c r="M13" s="562"/>
      <c r="N13" s="558"/>
      <c r="O13" s="936">
        <f>'19 (кредиты)'!J31</f>
        <v>0</v>
      </c>
      <c r="P13" s="936">
        <f>'19 (кредиты)'!J41</f>
        <v>0</v>
      </c>
      <c r="Q13" s="406"/>
      <c r="S13" s="562"/>
      <c r="T13" s="562"/>
      <c r="U13" s="406"/>
    </row>
    <row r="14" spans="1:21">
      <c r="B14" s="827">
        <v>3</v>
      </c>
      <c r="C14" s="930" t="str">
        <f>CONCATENATE(C$11,B14)</f>
        <v>1.3</v>
      </c>
      <c r="D14" s="415" t="s">
        <v>840</v>
      </c>
      <c r="E14" s="415"/>
      <c r="F14" s="562"/>
      <c r="G14" s="936">
        <f>SUBTOTAL(9,G15:G17)</f>
        <v>0</v>
      </c>
      <c r="H14" s="936">
        <f>SUBTOTAL(9,H15:H17)</f>
        <v>0</v>
      </c>
      <c r="I14" s="936">
        <f>J14+K14+M14</f>
        <v>0</v>
      </c>
      <c r="J14" s="562"/>
      <c r="K14" s="562"/>
      <c r="L14" s="558"/>
      <c r="M14" s="562"/>
      <c r="N14" s="558"/>
      <c r="O14" s="562"/>
      <c r="P14" s="936">
        <f>SUBTOTAL(9,P15:P17)</f>
        <v>0</v>
      </c>
      <c r="Q14" s="406"/>
      <c r="R14" s="827" t="s">
        <v>422</v>
      </c>
      <c r="S14" s="936">
        <f>SUBTOTAL(9,S15:S17)</f>
        <v>0</v>
      </c>
      <c r="T14" s="936">
        <f>SUBTOTAL(9,T15:T17)</f>
        <v>0</v>
      </c>
      <c r="U14" s="406"/>
    </row>
    <row r="15" spans="1:21">
      <c r="C15" s="937" t="str">
        <f>CONCATENATE(C$14,".",ROW()-ROW(C$14))</f>
        <v>1.3.1</v>
      </c>
      <c r="D15" s="415"/>
      <c r="E15" s="415"/>
      <c r="F15" s="932"/>
      <c r="G15" s="562"/>
      <c r="H15" s="562"/>
      <c r="I15" s="932"/>
      <c r="J15" s="932"/>
      <c r="K15" s="932"/>
      <c r="L15" s="938"/>
      <c r="M15" s="932"/>
      <c r="N15" s="938"/>
      <c r="O15" s="932"/>
      <c r="P15" s="562"/>
      <c r="Q15" s="413"/>
      <c r="S15" s="562"/>
      <c r="T15" s="562"/>
      <c r="U15" s="406"/>
    </row>
    <row r="16" spans="1:21">
      <c r="C16" s="937" t="str">
        <f>CONCATENATE(C$14,".",ROW()-ROW(C$14))</f>
        <v>1.3.2</v>
      </c>
      <c r="D16" s="415"/>
      <c r="E16" s="415"/>
      <c r="F16" s="932"/>
      <c r="G16" s="562"/>
      <c r="H16" s="562"/>
      <c r="I16" s="932"/>
      <c r="J16" s="932"/>
      <c r="K16" s="932"/>
      <c r="L16" s="938"/>
      <c r="M16" s="932"/>
      <c r="N16" s="938"/>
      <c r="O16" s="932"/>
      <c r="P16" s="562"/>
      <c r="Q16" s="413"/>
      <c r="S16" s="562"/>
      <c r="T16" s="562"/>
      <c r="U16" s="406"/>
    </row>
    <row r="17" spans="2:21">
      <c r="C17" s="738"/>
      <c r="D17" s="738"/>
      <c r="E17" s="473" t="s">
        <v>430</v>
      </c>
      <c r="F17" s="738"/>
      <c r="G17" s="738"/>
      <c r="H17" s="738"/>
      <c r="I17" s="738"/>
      <c r="J17" s="738"/>
      <c r="K17" s="738"/>
      <c r="L17" s="939"/>
      <c r="M17" s="738"/>
      <c r="N17" s="939"/>
      <c r="O17" s="738"/>
      <c r="P17" s="738"/>
      <c r="Q17" s="940"/>
      <c r="S17" s="738"/>
      <c r="T17" s="738"/>
      <c r="U17" s="406"/>
    </row>
    <row r="18" spans="2:21">
      <c r="B18" s="827">
        <f>B14+1</f>
        <v>4</v>
      </c>
      <c r="C18" s="930" t="str">
        <f>CONCATENATE(C$11,B18)</f>
        <v>1.4</v>
      </c>
      <c r="D18" s="415"/>
      <c r="E18" s="415"/>
      <c r="F18" s="562"/>
      <c r="G18" s="936">
        <f>SUBTOTAL(9,G19:G23)</f>
        <v>0</v>
      </c>
      <c r="H18" s="936">
        <f>SUBTOTAL(9,H19:H23)</f>
        <v>0</v>
      </c>
      <c r="I18" s="936">
        <f>J18+K18+M18</f>
        <v>0</v>
      </c>
      <c r="J18" s="562"/>
      <c r="K18" s="562"/>
      <c r="L18" s="558"/>
      <c r="M18" s="562"/>
      <c r="N18" s="558"/>
      <c r="O18" s="562"/>
      <c r="P18" s="936">
        <f>SUBTOTAL(9,P19:P23)</f>
        <v>0</v>
      </c>
      <c r="Q18" s="406"/>
      <c r="R18" s="827" t="s">
        <v>422</v>
      </c>
      <c r="S18" s="936">
        <f>SUBTOTAL(9,S19:S23)</f>
        <v>0</v>
      </c>
      <c r="T18" s="936">
        <f>SUBTOTAL(9,T19:T23)</f>
        <v>0</v>
      </c>
      <c r="U18" s="406"/>
    </row>
    <row r="19" spans="2:21">
      <c r="C19" s="937" t="str">
        <f>CONCATENATE(C$18,".",ROW()-ROW(C$18))</f>
        <v>1.4.1</v>
      </c>
      <c r="D19" s="415"/>
      <c r="E19" s="415"/>
      <c r="F19" s="932"/>
      <c r="G19" s="562"/>
      <c r="H19" s="562"/>
      <c r="I19" s="932"/>
      <c r="J19" s="932"/>
      <c r="K19" s="932"/>
      <c r="L19" s="938"/>
      <c r="M19" s="932"/>
      <c r="N19" s="938"/>
      <c r="O19" s="932"/>
      <c r="P19" s="562"/>
      <c r="Q19" s="413"/>
      <c r="S19" s="562"/>
      <c r="T19" s="562"/>
      <c r="U19" s="406"/>
    </row>
    <row r="20" spans="2:21">
      <c r="C20" s="937" t="str">
        <f>CONCATENATE(C$18,".",ROW()-ROW(C$18))</f>
        <v>1.4.2</v>
      </c>
      <c r="D20" s="415"/>
      <c r="E20" s="415"/>
      <c r="F20" s="932"/>
      <c r="G20" s="562"/>
      <c r="H20" s="562"/>
      <c r="I20" s="932"/>
      <c r="J20" s="932"/>
      <c r="K20" s="932"/>
      <c r="L20" s="938"/>
      <c r="M20" s="932"/>
      <c r="N20" s="938"/>
      <c r="O20" s="932"/>
      <c r="P20" s="562"/>
      <c r="Q20" s="413"/>
      <c r="S20" s="562"/>
      <c r="T20" s="562"/>
      <c r="U20" s="406"/>
    </row>
    <row r="21" spans="2:21">
      <c r="C21" s="937" t="str">
        <f>CONCATENATE(C$18,".",ROW()-ROW(C$18))</f>
        <v>1.4.3</v>
      </c>
      <c r="D21" s="415" t="s">
        <v>841</v>
      </c>
      <c r="E21" s="415" t="s">
        <v>841</v>
      </c>
      <c r="F21" s="932"/>
      <c r="G21" s="562"/>
      <c r="H21" s="562"/>
      <c r="I21" s="932"/>
      <c r="J21" s="932"/>
      <c r="K21" s="932"/>
      <c r="L21" s="938"/>
      <c r="M21" s="932"/>
      <c r="N21" s="938"/>
      <c r="O21" s="932"/>
      <c r="P21" s="562"/>
      <c r="Q21" s="413"/>
      <c r="S21" s="562"/>
      <c r="T21" s="562"/>
      <c r="U21" s="406"/>
    </row>
    <row r="22" spans="2:21">
      <c r="C22" s="937" t="str">
        <f>CONCATENATE(C$18,".",ROW()-ROW(C$18))</f>
        <v>1.4.4</v>
      </c>
      <c r="D22" s="415" t="s">
        <v>841</v>
      </c>
      <c r="E22" s="415" t="s">
        <v>841</v>
      </c>
      <c r="F22" s="932"/>
      <c r="G22" s="562"/>
      <c r="H22" s="562"/>
      <c r="I22" s="932"/>
      <c r="J22" s="932"/>
      <c r="K22" s="932"/>
      <c r="L22" s="938"/>
      <c r="M22" s="932"/>
      <c r="N22" s="938"/>
      <c r="O22" s="932"/>
      <c r="P22" s="562"/>
      <c r="Q22" s="413"/>
      <c r="S22" s="562"/>
      <c r="T22" s="562"/>
      <c r="U22" s="406"/>
    </row>
    <row r="23" spans="2:21">
      <c r="C23" s="738"/>
      <c r="D23" s="738"/>
      <c r="E23" s="473" t="s">
        <v>430</v>
      </c>
      <c r="F23" s="738"/>
      <c r="G23" s="738"/>
      <c r="H23" s="738"/>
      <c r="I23" s="738"/>
      <c r="J23" s="738"/>
      <c r="K23" s="738"/>
      <c r="L23" s="939"/>
      <c r="M23" s="738"/>
      <c r="N23" s="939"/>
      <c r="O23" s="738"/>
      <c r="P23" s="738"/>
      <c r="Q23" s="940"/>
      <c r="S23" s="738"/>
      <c r="T23" s="738"/>
      <c r="U23" s="738"/>
    </row>
    <row r="24" spans="2:21" ht="12" customHeight="1">
      <c r="C24" s="738"/>
      <c r="D24" s="473" t="s">
        <v>842</v>
      </c>
      <c r="E24" s="738"/>
      <c r="F24" s="738"/>
      <c r="G24" s="738"/>
      <c r="H24" s="738"/>
      <c r="I24" s="738"/>
      <c r="J24" s="738"/>
      <c r="K24" s="738"/>
      <c r="L24" s="939"/>
      <c r="M24" s="738"/>
      <c r="N24" s="939"/>
      <c r="O24" s="738"/>
      <c r="P24" s="738"/>
      <c r="Q24" s="940"/>
      <c r="S24" s="738"/>
      <c r="T24" s="738"/>
      <c r="U24" s="738"/>
    </row>
    <row r="26" spans="2:21">
      <c r="C26" s="677" t="s">
        <v>9</v>
      </c>
      <c r="D26" s="751"/>
      <c r="E26" s="751"/>
      <c r="F26" s="751"/>
      <c r="G26" s="751"/>
    </row>
    <row r="27" spans="2:21">
      <c r="C27" s="2306" t="s">
        <v>542</v>
      </c>
      <c r="D27" s="2306"/>
      <c r="E27" s="2306"/>
      <c r="F27" s="2306"/>
      <c r="G27" s="2306"/>
    </row>
    <row r="28" spans="2:21">
      <c r="D28" s="941"/>
    </row>
    <row r="29" spans="2:21">
      <c r="C29" s="481" t="s">
        <v>2165</v>
      </c>
      <c r="D29" s="941"/>
    </row>
    <row r="30" spans="2:21">
      <c r="C30" s="481" t="s">
        <v>543</v>
      </c>
      <c r="D30" s="941"/>
    </row>
    <row r="31" spans="2:21">
      <c r="C31" s="481" t="s">
        <v>544</v>
      </c>
      <c r="D31" s="942"/>
    </row>
    <row r="32" spans="2:21">
      <c r="C32" s="481" t="s">
        <v>545</v>
      </c>
      <c r="D32" s="941"/>
    </row>
  </sheetData>
  <sheetProtection formatColumns="0" formatRows="0" insertHyperlinks="0"/>
  <mergeCells count="15">
    <mergeCell ref="S7:S8"/>
    <mergeCell ref="T7:T8"/>
    <mergeCell ref="U7:U9"/>
    <mergeCell ref="C27:G27"/>
    <mergeCell ref="C4:Q4"/>
    <mergeCell ref="C7:C9"/>
    <mergeCell ref="D7:D9"/>
    <mergeCell ref="E7:E9"/>
    <mergeCell ref="F7:F8"/>
    <mergeCell ref="G7:G8"/>
    <mergeCell ref="H7:H8"/>
    <mergeCell ref="I7:N7"/>
    <mergeCell ref="O7:O8"/>
    <mergeCell ref="P7:P8"/>
    <mergeCell ref="Q7:Q8"/>
  </mergeCells>
  <hyperlinks>
    <hyperlink ref="A1" location="'Перечень форм для заполнения'!A1" display="Вернуться к перечню форм"/>
    <hyperlink ref="E17" location="'18 (прочие НР)'!A1" display="Добавить документ"/>
    <hyperlink ref="D24" location="'18 (прочие НР)'!A1" display="Добавить категорию зарат"/>
    <hyperlink ref="C2" location="'Перечень форм для заполнения'!A1" display="Перечень форм"/>
    <hyperlink ref="E23" location="'18 (прочие НР)'!A1" display="Добавить документ"/>
  </hyperlinks>
  <pageMargins left="0.70866141732283472" right="0.70866141732283472" top="0.74803149606299213" bottom="0.74803149606299213" header="0.31496062992125984" footer="0.31496062992125984"/>
  <pageSetup paperSize="9" scale="4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L44"/>
  <sheetViews>
    <sheetView showGridLines="0" topLeftCell="A13" zoomScale="85" zoomScaleNormal="85" workbookViewId="0">
      <selection activeCell="H31" sqref="H31"/>
    </sheetView>
  </sheetViews>
  <sheetFormatPr defaultColWidth="9.140625" defaultRowHeight="12.75"/>
  <cols>
    <col min="1" max="1" width="3.7109375" style="212" customWidth="1"/>
    <col min="2" max="2" width="9.140625" style="722"/>
    <col min="3" max="3" width="22.28515625" style="212" customWidth="1"/>
    <col min="4" max="4" width="13.5703125" style="212" customWidth="1"/>
    <col min="5" max="6" width="9.140625" style="212"/>
    <col min="7" max="7" width="18.42578125" style="212" customWidth="1"/>
    <col min="8" max="8" width="17.140625" style="212" customWidth="1"/>
    <col min="9" max="9" width="28" style="212" customWidth="1"/>
    <col min="10" max="10" width="25" style="212" customWidth="1"/>
    <col min="11" max="11" width="21.85546875" style="212" customWidth="1"/>
    <col min="12" max="12" width="15.28515625" style="212" customWidth="1"/>
    <col min="13" max="16384" width="9.140625" style="212"/>
  </cols>
  <sheetData>
    <row r="1" spans="1:12">
      <c r="A1" s="2379" t="s">
        <v>210</v>
      </c>
      <c r="B1" s="2379"/>
      <c r="C1" s="2379"/>
    </row>
    <row r="4" spans="1:12" ht="14.25">
      <c r="B4" s="2422" t="s">
        <v>2183</v>
      </c>
      <c r="C4" s="2422"/>
      <c r="D4" s="2422"/>
      <c r="E4" s="2422"/>
      <c r="F4" s="2422"/>
      <c r="G4" s="2422"/>
      <c r="H4" s="2422"/>
      <c r="I4" s="2422"/>
      <c r="J4" s="2422"/>
      <c r="K4" s="2422"/>
      <c r="L4" s="2422"/>
    </row>
    <row r="5" spans="1:12">
      <c r="B5" s="943"/>
      <c r="C5" s="585"/>
      <c r="D5" s="585"/>
      <c r="E5" s="585"/>
      <c r="F5" s="585"/>
      <c r="G5" s="585"/>
      <c r="H5" s="585"/>
      <c r="I5" s="585"/>
      <c r="J5" s="585"/>
      <c r="K5" s="585"/>
      <c r="L5" s="585"/>
    </row>
    <row r="6" spans="1:12">
      <c r="B6" s="2423" t="s">
        <v>12</v>
      </c>
      <c r="C6" s="2425" t="s">
        <v>411</v>
      </c>
      <c r="D6" s="2425" t="s">
        <v>843</v>
      </c>
      <c r="E6" s="2425" t="s">
        <v>844</v>
      </c>
      <c r="F6" s="2425" t="s">
        <v>845</v>
      </c>
      <c r="G6" s="2425" t="s">
        <v>846</v>
      </c>
      <c r="H6" s="2425" t="s">
        <v>847</v>
      </c>
      <c r="I6" s="2425" t="s">
        <v>848</v>
      </c>
      <c r="J6" s="2425" t="s">
        <v>849</v>
      </c>
      <c r="K6" s="2425" t="s">
        <v>850</v>
      </c>
      <c r="L6" s="2425" t="s">
        <v>851</v>
      </c>
    </row>
    <row r="7" spans="1:12">
      <c r="B7" s="2424"/>
      <c r="C7" s="2426"/>
      <c r="D7" s="2426"/>
      <c r="E7" s="2426"/>
      <c r="F7" s="2426"/>
      <c r="G7" s="2426"/>
      <c r="H7" s="2426"/>
      <c r="I7" s="2426"/>
      <c r="J7" s="2426"/>
      <c r="K7" s="2426"/>
      <c r="L7" s="2426"/>
    </row>
    <row r="8" spans="1:12">
      <c r="B8" s="944">
        <v>1</v>
      </c>
      <c r="C8" s="945">
        <v>2</v>
      </c>
      <c r="D8" s="945">
        <v>3</v>
      </c>
      <c r="E8" s="945">
        <v>4</v>
      </c>
      <c r="F8" s="945">
        <v>5</v>
      </c>
      <c r="G8" s="945">
        <v>6</v>
      </c>
      <c r="H8" s="945">
        <v>7</v>
      </c>
      <c r="I8" s="945">
        <v>8</v>
      </c>
      <c r="J8" s="945">
        <v>9</v>
      </c>
      <c r="K8" s="945">
        <v>10</v>
      </c>
      <c r="L8" s="945">
        <v>11</v>
      </c>
    </row>
    <row r="9" spans="1:12" ht="25.5">
      <c r="B9" s="946" t="s">
        <v>111</v>
      </c>
      <c r="C9" s="947" t="s">
        <v>852</v>
      </c>
      <c r="D9" s="948"/>
      <c r="E9" s="948"/>
      <c r="F9" s="948"/>
      <c r="G9" s="949"/>
      <c r="H9" s="950"/>
      <c r="I9" s="949"/>
      <c r="J9" s="950"/>
      <c r="K9" s="949"/>
      <c r="L9" s="948"/>
    </row>
    <row r="10" spans="1:12">
      <c r="B10" s="946" t="str">
        <f>CONCATENATE(B$9,".",ROW()-ROW(B$9))</f>
        <v>1.1</v>
      </c>
      <c r="C10" s="949"/>
      <c r="D10" s="949"/>
      <c r="E10" s="949"/>
      <c r="F10" s="949"/>
      <c r="G10" s="949"/>
      <c r="H10" s="949"/>
      <c r="I10" s="949"/>
      <c r="J10" s="949"/>
      <c r="K10" s="949"/>
      <c r="L10" s="951"/>
    </row>
    <row r="11" spans="1:12">
      <c r="B11" s="946" t="str">
        <f>CONCATENATE(B$9,".",ROW()-ROW(B$9))</f>
        <v>1.2</v>
      </c>
      <c r="C11" s="949"/>
      <c r="D11" s="949"/>
      <c r="E11" s="949"/>
      <c r="F11" s="949"/>
      <c r="G11" s="949"/>
      <c r="H11" s="949"/>
      <c r="I11" s="949"/>
      <c r="J11" s="949"/>
      <c r="K11" s="949"/>
      <c r="L11" s="951"/>
    </row>
    <row r="12" spans="1:12">
      <c r="B12" s="737"/>
      <c r="C12" s="473" t="s">
        <v>7</v>
      </c>
      <c r="D12" s="736"/>
      <c r="E12" s="736"/>
      <c r="F12" s="738"/>
      <c r="G12" s="738"/>
      <c r="H12" s="738"/>
      <c r="I12" s="738"/>
      <c r="J12" s="738"/>
      <c r="K12" s="738"/>
      <c r="L12" s="738"/>
    </row>
    <row r="15" spans="1:12" ht="14.25">
      <c r="B15" s="2422" t="str">
        <f>"Расходы на уплату процентов по займам и кредитам на "&amp;'0. Анкета'!C15-2&amp;" год (фактические значения)"</f>
        <v>Расходы на уплату процентов по займам и кредитам на 2022 год (фактические значения)</v>
      </c>
      <c r="C15" s="2422"/>
      <c r="D15" s="2422"/>
      <c r="E15" s="2422"/>
      <c r="F15" s="2422"/>
      <c r="G15" s="2422"/>
      <c r="H15" s="2422"/>
      <c r="I15" s="2422"/>
      <c r="J15" s="2422"/>
      <c r="K15" s="2422"/>
      <c r="L15" s="2422"/>
    </row>
    <row r="16" spans="1:12">
      <c r="B16" s="943"/>
      <c r="C16" s="585"/>
      <c r="D16" s="585"/>
      <c r="E16" s="585"/>
      <c r="F16" s="585"/>
      <c r="G16" s="585"/>
      <c r="H16" s="585"/>
      <c r="I16" s="585"/>
      <c r="J16" s="585"/>
      <c r="K16" s="585"/>
      <c r="L16" s="585"/>
    </row>
    <row r="17" spans="2:12">
      <c r="B17" s="2423" t="s">
        <v>12</v>
      </c>
      <c r="C17" s="2425" t="s">
        <v>411</v>
      </c>
      <c r="D17" s="2425" t="s">
        <v>843</v>
      </c>
      <c r="E17" s="2425" t="s">
        <v>844</v>
      </c>
      <c r="F17" s="2425" t="s">
        <v>845</v>
      </c>
      <c r="G17" s="2425" t="s">
        <v>846</v>
      </c>
      <c r="H17" s="2425" t="s">
        <v>847</v>
      </c>
      <c r="I17" s="2425" t="s">
        <v>848</v>
      </c>
      <c r="J17" s="2425" t="s">
        <v>849</v>
      </c>
      <c r="K17" s="2425" t="s">
        <v>850</v>
      </c>
      <c r="L17" s="2425" t="s">
        <v>851</v>
      </c>
    </row>
    <row r="18" spans="2:12">
      <c r="B18" s="2424"/>
      <c r="C18" s="2426"/>
      <c r="D18" s="2426"/>
      <c r="E18" s="2426"/>
      <c r="F18" s="2426"/>
      <c r="G18" s="2426"/>
      <c r="H18" s="2426"/>
      <c r="I18" s="2426"/>
      <c r="J18" s="2426"/>
      <c r="K18" s="2426"/>
      <c r="L18" s="2426"/>
    </row>
    <row r="19" spans="2:12">
      <c r="B19" s="944">
        <v>1</v>
      </c>
      <c r="C19" s="945">
        <v>2</v>
      </c>
      <c r="D19" s="945">
        <v>3</v>
      </c>
      <c r="E19" s="945">
        <v>4</v>
      </c>
      <c r="F19" s="945">
        <v>5</v>
      </c>
      <c r="G19" s="945">
        <v>6</v>
      </c>
      <c r="H19" s="945">
        <v>7</v>
      </c>
      <c r="I19" s="945">
        <v>8</v>
      </c>
      <c r="J19" s="945">
        <v>9</v>
      </c>
      <c r="K19" s="945">
        <v>10</v>
      </c>
      <c r="L19" s="945">
        <v>11</v>
      </c>
    </row>
    <row r="20" spans="2:12" ht="25.5">
      <c r="B20" s="946" t="s">
        <v>111</v>
      </c>
      <c r="C20" s="947" t="s">
        <v>852</v>
      </c>
      <c r="D20" s="948"/>
      <c r="E20" s="948"/>
      <c r="F20" s="952"/>
      <c r="G20" s="953">
        <f>SUM(G21:G23)</f>
        <v>0</v>
      </c>
      <c r="H20" s="953">
        <f>SUM(H21:H23)</f>
        <v>0</v>
      </c>
      <c r="I20" s="953">
        <f>SUM(I21:I23)</f>
        <v>0</v>
      </c>
      <c r="J20" s="953">
        <f>SUM(J21:J23)</f>
        <v>0</v>
      </c>
      <c r="K20" s="953">
        <f>SUM(K21:K23)</f>
        <v>0</v>
      </c>
      <c r="L20" s="948"/>
    </row>
    <row r="21" spans="2:12">
      <c r="B21" s="946" t="str">
        <f>CONCATENATE(B$20,".",ROW()-ROW(B$20))</f>
        <v>1.1</v>
      </c>
      <c r="C21" s="954"/>
      <c r="D21" s="954"/>
      <c r="E21" s="954"/>
      <c r="F21" s="950"/>
      <c r="G21" s="950"/>
      <c r="H21" s="950"/>
      <c r="I21" s="950"/>
      <c r="J21" s="950"/>
      <c r="K21" s="955">
        <f>G21+I21-J21</f>
        <v>0</v>
      </c>
      <c r="L21" s="956"/>
    </row>
    <row r="22" spans="2:12">
      <c r="B22" s="946" t="str">
        <f>CONCATENATE(B$20,".",ROW()-ROW(B$20))</f>
        <v>1.2</v>
      </c>
      <c r="C22" s="954"/>
      <c r="D22" s="954"/>
      <c r="E22" s="954"/>
      <c r="F22" s="950"/>
      <c r="G22" s="950"/>
      <c r="H22" s="950"/>
      <c r="I22" s="950"/>
      <c r="J22" s="950"/>
      <c r="K22" s="955">
        <f>G22+I22-J22</f>
        <v>0</v>
      </c>
      <c r="L22" s="956"/>
    </row>
    <row r="23" spans="2:12">
      <c r="B23" s="737"/>
      <c r="C23" s="473" t="s">
        <v>7</v>
      </c>
      <c r="D23" s="736"/>
      <c r="E23" s="736"/>
      <c r="F23" s="738"/>
      <c r="G23" s="738"/>
      <c r="H23" s="738"/>
      <c r="I23" s="738"/>
      <c r="J23" s="738"/>
      <c r="K23" s="738"/>
      <c r="L23" s="738"/>
    </row>
    <row r="26" spans="2:12" ht="14.25">
      <c r="B26" s="2422" t="str">
        <f>"Расходы на уплату процентов по займам и кредитам на "&amp;'0. Анкета'!C15-1&amp;" год (утвержденные значения)"</f>
        <v>Расходы на уплату процентов по займам и кредитам на 2023 год (утвержденные значения)</v>
      </c>
      <c r="C26" s="2422"/>
      <c r="D26" s="2422"/>
      <c r="E26" s="2422"/>
      <c r="F26" s="2422"/>
      <c r="G26" s="2422"/>
      <c r="H26" s="2422"/>
      <c r="I26" s="2422"/>
      <c r="J26" s="2422"/>
      <c r="K26" s="2422"/>
      <c r="L26" s="2422"/>
    </row>
    <row r="27" spans="2:12">
      <c r="B27" s="943"/>
      <c r="C27" s="585"/>
      <c r="D27" s="585"/>
      <c r="E27" s="585"/>
      <c r="F27" s="585"/>
      <c r="G27" s="585"/>
      <c r="H27" s="585"/>
      <c r="I27" s="585"/>
      <c r="J27" s="585"/>
      <c r="K27" s="585"/>
      <c r="L27" s="585"/>
    </row>
    <row r="28" spans="2:12">
      <c r="B28" s="2423" t="s">
        <v>12</v>
      </c>
      <c r="C28" s="2425" t="s">
        <v>411</v>
      </c>
      <c r="D28" s="2425" t="s">
        <v>843</v>
      </c>
      <c r="E28" s="2425" t="s">
        <v>844</v>
      </c>
      <c r="F28" s="2425" t="s">
        <v>845</v>
      </c>
      <c r="G28" s="2425" t="s">
        <v>846</v>
      </c>
      <c r="H28" s="2425" t="s">
        <v>847</v>
      </c>
      <c r="I28" s="2425" t="s">
        <v>848</v>
      </c>
      <c r="J28" s="2425" t="s">
        <v>849</v>
      </c>
      <c r="K28" s="2425" t="s">
        <v>850</v>
      </c>
      <c r="L28" s="2425" t="s">
        <v>851</v>
      </c>
    </row>
    <row r="29" spans="2:12">
      <c r="B29" s="2424"/>
      <c r="C29" s="2426"/>
      <c r="D29" s="2426"/>
      <c r="E29" s="2426"/>
      <c r="F29" s="2426"/>
      <c r="G29" s="2426"/>
      <c r="H29" s="2426"/>
      <c r="I29" s="2426"/>
      <c r="J29" s="2426"/>
      <c r="K29" s="2426"/>
      <c r="L29" s="2426"/>
    </row>
    <row r="30" spans="2:12">
      <c r="B30" s="944">
        <v>1</v>
      </c>
      <c r="C30" s="945">
        <v>2</v>
      </c>
      <c r="D30" s="945">
        <v>3</v>
      </c>
      <c r="E30" s="945">
        <v>4</v>
      </c>
      <c r="F30" s="945">
        <v>5</v>
      </c>
      <c r="G30" s="945">
        <v>6</v>
      </c>
      <c r="H30" s="945">
        <v>7</v>
      </c>
      <c r="I30" s="945">
        <v>8</v>
      </c>
      <c r="J30" s="945">
        <v>9</v>
      </c>
      <c r="K30" s="945">
        <v>10</v>
      </c>
      <c r="L30" s="945">
        <v>11</v>
      </c>
    </row>
    <row r="31" spans="2:12" ht="25.5">
      <c r="B31" s="946" t="s">
        <v>111</v>
      </c>
      <c r="C31" s="947" t="s">
        <v>852</v>
      </c>
      <c r="D31" s="948"/>
      <c r="E31" s="948"/>
      <c r="F31" s="952"/>
      <c r="G31" s="957"/>
      <c r="H31" s="950"/>
      <c r="I31" s="957"/>
      <c r="J31" s="950"/>
      <c r="K31" s="957"/>
      <c r="L31" s="948"/>
    </row>
    <row r="32" spans="2:12">
      <c r="B32" s="946" t="str">
        <f>CONCATENATE(B$31,".",ROW()-ROW(B$31))</f>
        <v>1.1</v>
      </c>
      <c r="C32" s="949"/>
      <c r="D32" s="949"/>
      <c r="E32" s="949"/>
      <c r="F32" s="957"/>
      <c r="G32" s="957"/>
      <c r="H32" s="957"/>
      <c r="I32" s="957"/>
      <c r="J32" s="957"/>
      <c r="K32" s="957"/>
      <c r="L32" s="951"/>
    </row>
    <row r="33" spans="2:12">
      <c r="B33" s="946" t="str">
        <f>CONCATENATE(B$31,".",ROW()-ROW(B$31))</f>
        <v>1.2</v>
      </c>
      <c r="C33" s="949"/>
      <c r="D33" s="949"/>
      <c r="E33" s="949"/>
      <c r="F33" s="957"/>
      <c r="G33" s="957"/>
      <c r="H33" s="957"/>
      <c r="I33" s="957"/>
      <c r="J33" s="957"/>
      <c r="K33" s="957"/>
      <c r="L33" s="951"/>
    </row>
    <row r="34" spans="2:12">
      <c r="B34" s="737"/>
      <c r="C34" s="473" t="s">
        <v>7</v>
      </c>
      <c r="D34" s="736"/>
      <c r="E34" s="736"/>
      <c r="F34" s="738"/>
      <c r="G34" s="738"/>
      <c r="H34" s="738"/>
      <c r="I34" s="738"/>
      <c r="J34" s="738"/>
      <c r="K34" s="738"/>
      <c r="L34" s="738"/>
    </row>
    <row r="36" spans="2:12" ht="14.25">
      <c r="B36" s="2422" t="str">
        <f>"Расходы на уплату процентов по займам и кредитам на "&amp;'0. Анкета'!C15&amp;" год (предложенные значения)"</f>
        <v>Расходы на уплату процентов по займам и кредитам на 2024 год (предложенные значения)</v>
      </c>
      <c r="C36" s="2422"/>
      <c r="D36" s="2422"/>
      <c r="E36" s="2422"/>
      <c r="F36" s="2422"/>
      <c r="G36" s="2422"/>
      <c r="H36" s="2422"/>
      <c r="I36" s="2422"/>
      <c r="J36" s="2422"/>
      <c r="K36" s="2422"/>
      <c r="L36" s="2422"/>
    </row>
    <row r="37" spans="2:12">
      <c r="B37" s="943"/>
      <c r="C37" s="585"/>
      <c r="D37" s="585"/>
      <c r="E37" s="585"/>
      <c r="F37" s="585"/>
      <c r="G37" s="585"/>
      <c r="H37" s="585"/>
      <c r="I37" s="585"/>
      <c r="J37" s="585"/>
      <c r="K37" s="585"/>
      <c r="L37" s="585"/>
    </row>
    <row r="38" spans="2:12">
      <c r="B38" s="2423" t="s">
        <v>12</v>
      </c>
      <c r="C38" s="2425" t="s">
        <v>411</v>
      </c>
      <c r="D38" s="2425" t="s">
        <v>843</v>
      </c>
      <c r="E38" s="2425" t="s">
        <v>844</v>
      </c>
      <c r="F38" s="2425" t="s">
        <v>845</v>
      </c>
      <c r="G38" s="2425" t="s">
        <v>846</v>
      </c>
      <c r="H38" s="2425" t="s">
        <v>847</v>
      </c>
      <c r="I38" s="2425" t="s">
        <v>848</v>
      </c>
      <c r="J38" s="2425" t="s">
        <v>849</v>
      </c>
      <c r="K38" s="2425" t="s">
        <v>850</v>
      </c>
      <c r="L38" s="2425" t="s">
        <v>851</v>
      </c>
    </row>
    <row r="39" spans="2:12">
      <c r="B39" s="2424"/>
      <c r="C39" s="2426"/>
      <c r="D39" s="2426"/>
      <c r="E39" s="2426"/>
      <c r="F39" s="2426"/>
      <c r="G39" s="2426"/>
      <c r="H39" s="2426"/>
      <c r="I39" s="2426"/>
      <c r="J39" s="2426"/>
      <c r="K39" s="2426"/>
      <c r="L39" s="2426"/>
    </row>
    <row r="40" spans="2:12">
      <c r="B40" s="944">
        <v>1</v>
      </c>
      <c r="C40" s="945">
        <v>2</v>
      </c>
      <c r="D40" s="945">
        <v>3</v>
      </c>
      <c r="E40" s="945">
        <v>4</v>
      </c>
      <c r="F40" s="945">
        <v>5</v>
      </c>
      <c r="G40" s="945">
        <v>6</v>
      </c>
      <c r="H40" s="945">
        <v>7</v>
      </c>
      <c r="I40" s="945">
        <v>8</v>
      </c>
      <c r="J40" s="945">
        <v>9</v>
      </c>
      <c r="K40" s="945">
        <v>10</v>
      </c>
      <c r="L40" s="945">
        <v>11</v>
      </c>
    </row>
    <row r="41" spans="2:12" ht="25.5">
      <c r="B41" s="946" t="s">
        <v>111</v>
      </c>
      <c r="C41" s="947" t="s">
        <v>852</v>
      </c>
      <c r="D41" s="948"/>
      <c r="E41" s="948"/>
      <c r="F41" s="952"/>
      <c r="G41" s="953">
        <f>SUM(G42:G44)</f>
        <v>0</v>
      </c>
      <c r="H41" s="953">
        <f>SUM(H42:H44)</f>
        <v>0</v>
      </c>
      <c r="I41" s="953">
        <f>SUM(I42:I44)</f>
        <v>0</v>
      </c>
      <c r="J41" s="953">
        <f>SUM(J42:J44)</f>
        <v>0</v>
      </c>
      <c r="K41" s="953">
        <f>SUM(K42:K44)</f>
        <v>0</v>
      </c>
      <c r="L41" s="948"/>
    </row>
    <row r="42" spans="2:12" ht="63" customHeight="1">
      <c r="B42" s="946" t="str">
        <f>CONCATENATE(B$41,".",ROW()-ROW(B$41))</f>
        <v>1.1</v>
      </c>
      <c r="C42" s="954"/>
      <c r="D42" s="954"/>
      <c r="E42" s="954"/>
      <c r="F42" s="950"/>
      <c r="G42" s="950"/>
      <c r="H42" s="950"/>
      <c r="I42" s="950"/>
      <c r="J42" s="950"/>
      <c r="K42" s="955">
        <f>G42+I42-J42</f>
        <v>0</v>
      </c>
      <c r="L42" s="954"/>
    </row>
    <row r="43" spans="2:12">
      <c r="B43" s="946" t="str">
        <f>CONCATENATE(B$41,".",ROW()-ROW(B$41))</f>
        <v>1.2</v>
      </c>
      <c r="C43" s="954"/>
      <c r="D43" s="954"/>
      <c r="E43" s="954"/>
      <c r="F43" s="950"/>
      <c r="G43" s="950"/>
      <c r="H43" s="950"/>
      <c r="I43" s="950"/>
      <c r="J43" s="950"/>
      <c r="K43" s="955">
        <f>G43+I43-J43</f>
        <v>0</v>
      </c>
      <c r="L43" s="954"/>
    </row>
    <row r="44" spans="2:12">
      <c r="B44" s="737"/>
      <c r="C44" s="473" t="s">
        <v>7</v>
      </c>
      <c r="D44" s="736"/>
      <c r="E44" s="736"/>
      <c r="F44" s="738"/>
      <c r="G44" s="738"/>
      <c r="H44" s="738"/>
      <c r="I44" s="738"/>
      <c r="J44" s="738"/>
      <c r="K44" s="738"/>
      <c r="L44" s="738"/>
    </row>
  </sheetData>
  <sheetProtection formatColumns="0" formatRows="0" insertHyperlinks="0"/>
  <mergeCells count="49">
    <mergeCell ref="G38:G39"/>
    <mergeCell ref="B38:B39"/>
    <mergeCell ref="C38:C39"/>
    <mergeCell ref="D38:D39"/>
    <mergeCell ref="E38:E39"/>
    <mergeCell ref="F38:F39"/>
    <mergeCell ref="H38:H39"/>
    <mergeCell ref="I38:I39"/>
    <mergeCell ref="J38:J39"/>
    <mergeCell ref="K38:K39"/>
    <mergeCell ref="L38:L39"/>
    <mergeCell ref="L28:L29"/>
    <mergeCell ref="B36:L36"/>
    <mergeCell ref="B28:B29"/>
    <mergeCell ref="C28:C29"/>
    <mergeCell ref="D28:D29"/>
    <mergeCell ref="E28:E29"/>
    <mergeCell ref="F28:F29"/>
    <mergeCell ref="G28:G29"/>
    <mergeCell ref="H28:H29"/>
    <mergeCell ref="I28:I29"/>
    <mergeCell ref="J28:J29"/>
    <mergeCell ref="K28:K29"/>
    <mergeCell ref="B26:L26"/>
    <mergeCell ref="J6:J7"/>
    <mergeCell ref="K6:K7"/>
    <mergeCell ref="L6:L7"/>
    <mergeCell ref="B15:L15"/>
    <mergeCell ref="B17:B18"/>
    <mergeCell ref="C17:C18"/>
    <mergeCell ref="D17:D18"/>
    <mergeCell ref="E17:E18"/>
    <mergeCell ref="F17:F18"/>
    <mergeCell ref="G17:G18"/>
    <mergeCell ref="H17:H18"/>
    <mergeCell ref="I17:I18"/>
    <mergeCell ref="J17:J18"/>
    <mergeCell ref="K17:K18"/>
    <mergeCell ref="L17:L18"/>
    <mergeCell ref="A1:C1"/>
    <mergeCell ref="B4:L4"/>
    <mergeCell ref="B6:B7"/>
    <mergeCell ref="C6:C7"/>
    <mergeCell ref="D6:D7"/>
    <mergeCell ref="E6:E7"/>
    <mergeCell ref="F6:F7"/>
    <mergeCell ref="G6:G7"/>
    <mergeCell ref="H6:H7"/>
    <mergeCell ref="I6:I7"/>
  </mergeCells>
  <hyperlinks>
    <hyperlink ref="A1" location="'Перечень форм для заполнения'!A1" display="Вернуться к перечню форм"/>
    <hyperlink ref="C12" location="'19 (кредиты)'!A1" display="Добавить"/>
    <hyperlink ref="C23" location="'19 (кредиты)'!A1" display="Добавить"/>
    <hyperlink ref="C34" location="'19 (кредиты)'!A1" display="Добавить"/>
    <hyperlink ref="C44" location="'19 (кредиты)'!A1" display="Добавить"/>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0000"/>
  </sheetPr>
  <dimension ref="B1:AP74"/>
  <sheetViews>
    <sheetView showGridLines="0" zoomScale="85" zoomScaleNormal="85" zoomScaleSheetLayoutView="70" workbookViewId="0">
      <pane xSplit="3" ySplit="7" topLeftCell="AD29" activePane="bottomRight" state="frozen"/>
      <selection activeCell="F44" sqref="F44"/>
      <selection pane="topRight" activeCell="F44" sqref="F44"/>
      <selection pane="bottomLeft" activeCell="F44" sqref="F44"/>
      <selection pane="bottomRight" activeCell="AK5" sqref="AK5:AP5"/>
    </sheetView>
  </sheetViews>
  <sheetFormatPr defaultColWidth="9.140625" defaultRowHeight="12.75"/>
  <cols>
    <col min="1" max="1" width="3.7109375" style="827" customWidth="1"/>
    <col min="2" max="2" width="5.42578125" style="827" customWidth="1"/>
    <col min="3" max="3" width="43.5703125" style="827" customWidth="1"/>
    <col min="4" max="4" width="22.7109375" style="827" customWidth="1"/>
    <col min="5" max="5" width="18.85546875" style="827" customWidth="1"/>
    <col min="6" max="6" width="16.42578125" style="827" customWidth="1"/>
    <col min="7" max="7" width="13.7109375" style="827" customWidth="1"/>
    <col min="8" max="8" width="10.7109375" style="827" customWidth="1"/>
    <col min="9" max="9" width="10.7109375" style="825" customWidth="1"/>
    <col min="10" max="10" width="14.42578125" style="826" customWidth="1"/>
    <col min="11" max="11" width="16.28515625" style="827" customWidth="1"/>
    <col min="12" max="12" width="17.42578125" style="826" customWidth="1"/>
    <col min="13" max="13" width="15.28515625" style="828" customWidth="1"/>
    <col min="14" max="14" width="20.7109375" style="827" customWidth="1"/>
    <col min="15" max="16" width="13.28515625" style="827" customWidth="1"/>
    <col min="17" max="18" width="14.7109375" style="827" customWidth="1"/>
    <col min="19" max="19" width="22.42578125" style="827" customWidth="1"/>
    <col min="20" max="20" width="20.5703125" style="827" customWidth="1"/>
    <col min="21" max="21" width="27.42578125" style="827" customWidth="1"/>
    <col min="22" max="22" width="18.28515625" style="827" customWidth="1"/>
    <col min="23" max="23" width="14.85546875" style="827" customWidth="1"/>
    <col min="24" max="24" width="19.85546875" style="827" customWidth="1"/>
    <col min="25" max="25" width="15.28515625" style="827" customWidth="1"/>
    <col min="26" max="26" width="14.28515625" style="827" customWidth="1"/>
    <col min="27" max="28" width="16.42578125" style="829" customWidth="1"/>
    <col min="29" max="29" width="19.42578125" style="829" customWidth="1"/>
    <col min="30" max="32" width="16.42578125" style="829" customWidth="1"/>
    <col min="33" max="33" width="19.42578125" style="829" customWidth="1"/>
    <col min="34" max="34" width="22.7109375" style="829" customWidth="1"/>
    <col min="35" max="35" width="16.42578125" style="829" customWidth="1"/>
    <col min="36" max="36" width="18.7109375" style="827" customWidth="1"/>
    <col min="37" max="37" width="23.140625" style="829" customWidth="1"/>
    <col min="38" max="38" width="18.5703125" style="827" customWidth="1"/>
    <col min="39" max="42" width="20.5703125" style="827" customWidth="1"/>
    <col min="43" max="16384" width="9.140625" style="827"/>
  </cols>
  <sheetData>
    <row r="1" spans="2:42" ht="12.6" customHeight="1">
      <c r="B1" s="210" t="s">
        <v>210</v>
      </c>
      <c r="C1" s="824"/>
      <c r="D1" s="824"/>
      <c r="E1" s="824"/>
      <c r="F1" s="824"/>
      <c r="G1" s="824"/>
      <c r="H1" s="824"/>
      <c r="AI1" s="830" t="s">
        <v>168</v>
      </c>
      <c r="AJ1" s="830" t="str">
        <f>'23 (свод средн стоим ОС)'!B9</f>
        <v>ВЛЭП</v>
      </c>
    </row>
    <row r="2" spans="2:42" ht="8.4499999999999993" customHeight="1">
      <c r="R2" s="831"/>
      <c r="S2" s="831"/>
      <c r="T2" s="831"/>
      <c r="U2" s="831"/>
      <c r="V2" s="831"/>
      <c r="W2" s="831"/>
      <c r="X2" s="831"/>
      <c r="Y2" s="831"/>
      <c r="Z2" s="831"/>
      <c r="AA2" s="832"/>
      <c r="AB2" s="832"/>
      <c r="AC2" s="832"/>
      <c r="AD2" s="832"/>
      <c r="AE2" s="832"/>
      <c r="AF2" s="832"/>
      <c r="AG2" s="832"/>
      <c r="AH2" s="832"/>
      <c r="AI2" s="830" t="s">
        <v>208</v>
      </c>
      <c r="AJ2" s="830" t="str">
        <f>'23 (свод средн стоим ОС)'!B14</f>
        <v>КЛЭП</v>
      </c>
      <c r="AK2" s="832"/>
      <c r="AL2" s="831"/>
      <c r="AM2" s="831"/>
      <c r="AN2" s="831"/>
      <c r="AO2" s="831"/>
      <c r="AP2" s="831"/>
    </row>
    <row r="3" spans="2:42" ht="18.75">
      <c r="B3" s="635"/>
      <c r="C3" s="2427" t="str">
        <f>"Расчет амортизационных отчислений за "&amp;'0. Анкета'!C15-2&amp;" и "&amp;'0. Анкета'!C15-1&amp;" по основным средствам, находящимся в собственности организации и участвующих в деятельности по передаче электрической энергии"</f>
        <v>Расчет амортизационных отчислений за 2022 и 2023 по основным средствам, находящимся в собственности организации и участвующих в деятельности по передаче электрической энергии</v>
      </c>
      <c r="D3" s="2427"/>
      <c r="E3" s="2427"/>
      <c r="F3" s="2427"/>
      <c r="G3" s="2427"/>
      <c r="H3" s="2427"/>
      <c r="I3" s="2427"/>
      <c r="J3" s="2427"/>
      <c r="K3" s="2427"/>
      <c r="L3" s="2427"/>
      <c r="M3" s="2427"/>
      <c r="N3" s="2427"/>
      <c r="O3" s="2427"/>
      <c r="P3" s="2427"/>
      <c r="Q3" s="2427"/>
      <c r="R3" s="2427"/>
      <c r="S3" s="2427"/>
      <c r="T3" s="2427"/>
      <c r="U3" s="2427"/>
      <c r="V3" s="2427"/>
      <c r="W3" s="2427"/>
      <c r="X3" s="833"/>
      <c r="Y3" s="635"/>
      <c r="Z3" s="635"/>
      <c r="AA3" s="833"/>
      <c r="AB3" s="833"/>
      <c r="AC3" s="833"/>
      <c r="AD3" s="833"/>
      <c r="AE3" s="833"/>
      <c r="AF3" s="833"/>
      <c r="AG3" s="833"/>
      <c r="AH3" s="833"/>
      <c r="AI3" s="830" t="s">
        <v>209</v>
      </c>
      <c r="AJ3" s="830" t="str">
        <f>'23 (свод средн стоим ОС)'!B19</f>
        <v>Подстанция</v>
      </c>
      <c r="AK3" s="833"/>
      <c r="AL3" s="635"/>
    </row>
    <row r="4" spans="2:42">
      <c r="B4" s="638"/>
      <c r="C4" s="638"/>
      <c r="D4" s="638"/>
      <c r="E4" s="638"/>
      <c r="F4" s="638"/>
      <c r="G4" s="638"/>
      <c r="H4" s="638"/>
      <c r="I4" s="834"/>
      <c r="J4" s="834"/>
      <c r="K4" s="835"/>
      <c r="L4" s="835"/>
      <c r="M4" s="835"/>
      <c r="N4" s="835"/>
      <c r="O4" s="835"/>
      <c r="P4" s="835"/>
      <c r="Q4" s="835"/>
      <c r="R4" s="835"/>
      <c r="S4" s="835"/>
      <c r="T4" s="835"/>
      <c r="U4" s="835"/>
      <c r="V4" s="212"/>
      <c r="W4" s="835"/>
      <c r="X4" s="835"/>
      <c r="Y4" s="835"/>
      <c r="Z4" s="835"/>
      <c r="AA4" s="835"/>
      <c r="AB4" s="835"/>
      <c r="AC4" s="835"/>
      <c r="AD4" s="835"/>
      <c r="AE4" s="835"/>
      <c r="AF4" s="835"/>
      <c r="AG4" s="835"/>
      <c r="AH4" s="835"/>
      <c r="AI4" s="836" t="s">
        <v>171</v>
      </c>
      <c r="AJ4" s="837" t="s">
        <v>766</v>
      </c>
      <c r="AK4" s="835"/>
      <c r="AL4" s="835"/>
      <c r="AM4" s="835"/>
      <c r="AN4" s="835"/>
      <c r="AO4" s="835"/>
      <c r="AP4" s="835"/>
    </row>
    <row r="5" spans="2:42" ht="27" customHeight="1">
      <c r="B5" s="2345" t="s">
        <v>12</v>
      </c>
      <c r="C5" s="2345" t="s">
        <v>767</v>
      </c>
      <c r="D5" s="2380" t="s">
        <v>768</v>
      </c>
      <c r="E5" s="2345" t="s">
        <v>552</v>
      </c>
      <c r="F5" s="2345" t="s">
        <v>769</v>
      </c>
      <c r="G5" s="2345" t="s">
        <v>770</v>
      </c>
      <c r="H5" s="2343" t="s">
        <v>771</v>
      </c>
      <c r="I5" s="2343" t="s">
        <v>772</v>
      </c>
      <c r="J5" s="2343" t="s">
        <v>773</v>
      </c>
      <c r="K5" s="2343" t="s">
        <v>774</v>
      </c>
      <c r="L5" s="2343" t="s">
        <v>775</v>
      </c>
      <c r="M5" s="2343" t="str">
        <f>"По состоянию на 01.01."&amp;'0. Анкета'!C15-1&amp;" (31.12."&amp;'0. Анкета'!C15-2&amp;")"</f>
        <v>По состоянию на 01.01.2023 (31.12.2022)</v>
      </c>
      <c r="N5" s="2343"/>
      <c r="O5" s="2343"/>
      <c r="P5" s="2343"/>
      <c r="Q5" s="2343" t="str">
        <f>"Изменение балансковой стоимости за "&amp;'0. Анкета'!C15-2&amp;" год"</f>
        <v>Изменение балансковой стоимости за 2022 год</v>
      </c>
      <c r="R5" s="2343"/>
      <c r="S5" s="2343" t="str">
        <f>"Начисленная  амортизация за "&amp;'0. Анкета'!C15-2&amp;" год"</f>
        <v>Начисленная  амортизация за 2022 год</v>
      </c>
      <c r="T5" s="2343"/>
      <c r="U5" s="2343"/>
      <c r="V5" s="2343"/>
      <c r="W5" s="2343"/>
      <c r="X5" s="2343"/>
      <c r="Y5" s="2343" t="str">
        <f>"По состоянию на 01.01."&amp;'0. Анкета'!C15-1&amp;" (31.12."&amp;'0. Анкета'!C15-2&amp;")"</f>
        <v>По состоянию на 01.01.2023 (31.12.2022)</v>
      </c>
      <c r="Z5" s="2343"/>
      <c r="AA5" s="2343"/>
      <c r="AB5" s="2428" t="str">
        <f>"Налог на имущество - "&amp;'0. Анкета'!C15-2&amp;",  утверждено"</f>
        <v>Налог на имущество - 2022,  утверждено</v>
      </c>
      <c r="AC5" s="2428" t="str">
        <f>"Налог на имущество - "&amp;'0. Анкета'!C15-2&amp;", факт (отражен в отчете об исполнении сметы расходов за "&amp;'0. Анкета'!C15-2&amp;" год)"</f>
        <v>Налог на имущество - 2022, факт (отражен в отчете об исполнении сметы расходов за 2022 год)</v>
      </c>
      <c r="AD5" s="2343" t="str">
        <f>"Налог на имущество - "&amp;'0. Анкета'!C15-2&amp;" факт, подтвержденный  бухгалтерскими документами (оборотно-сальдовые ведомости, карточки счетов, налоговые декларации)"</f>
        <v>Налог на имущество - 2022 факт, подтвержденный  бухгалтерскими документами (оборотно-сальдовые ведомости, карточки счетов, налоговые декларации)</v>
      </c>
      <c r="AE5" s="2343"/>
      <c r="AF5" s="2343"/>
      <c r="AG5" s="2343"/>
      <c r="AH5" s="2343"/>
      <c r="AI5" s="2343" t="str">
        <f>"Амортизация за "&amp;'0. Анкета'!C15-1&amp;" год, утверждено"</f>
        <v>Амортизация за 2023 год, утверждено</v>
      </c>
      <c r="AJ5" s="2428" t="str">
        <f>"Налог на имущество - "&amp;'0. Анкета'!C15-1&amp;",  утверждено"</f>
        <v>Налог на имущество - 2023,  утверждено</v>
      </c>
      <c r="AK5" s="2343" t="s">
        <v>2243</v>
      </c>
      <c r="AL5" s="2343"/>
      <c r="AM5" s="2343"/>
      <c r="AN5" s="2343"/>
      <c r="AO5" s="2343"/>
      <c r="AP5" s="2343"/>
    </row>
    <row r="6" spans="2:42" ht="62.25" customHeight="1">
      <c r="B6" s="2345"/>
      <c r="C6" s="2345"/>
      <c r="D6" s="2381"/>
      <c r="E6" s="2345"/>
      <c r="F6" s="2345"/>
      <c r="G6" s="2345"/>
      <c r="H6" s="2343"/>
      <c r="I6" s="2343"/>
      <c r="J6" s="2343"/>
      <c r="K6" s="2343"/>
      <c r="L6" s="2343"/>
      <c r="M6" s="838" t="s">
        <v>776</v>
      </c>
      <c r="N6" s="644" t="s">
        <v>777</v>
      </c>
      <c r="O6" s="644" t="s">
        <v>778</v>
      </c>
      <c r="P6" s="644" t="s">
        <v>779</v>
      </c>
      <c r="Q6" s="644" t="s">
        <v>780</v>
      </c>
      <c r="R6" s="644" t="s">
        <v>781</v>
      </c>
      <c r="S6" s="503" t="s">
        <v>782</v>
      </c>
      <c r="T6" s="503" t="s">
        <v>783</v>
      </c>
      <c r="U6" s="503" t="s">
        <v>784</v>
      </c>
      <c r="V6" s="503" t="s">
        <v>785</v>
      </c>
      <c r="W6" s="503" t="s">
        <v>786</v>
      </c>
      <c r="X6" s="503" t="s">
        <v>787</v>
      </c>
      <c r="Y6" s="644" t="s">
        <v>776</v>
      </c>
      <c r="Z6" s="644" t="s">
        <v>778</v>
      </c>
      <c r="AA6" s="839" t="s">
        <v>779</v>
      </c>
      <c r="AB6" s="2428"/>
      <c r="AC6" s="2428"/>
      <c r="AD6" s="758" t="s">
        <v>788</v>
      </c>
      <c r="AE6" s="758" t="s">
        <v>789</v>
      </c>
      <c r="AF6" s="758" t="s">
        <v>172</v>
      </c>
      <c r="AG6" s="758" t="s">
        <v>415</v>
      </c>
      <c r="AH6" s="758" t="s">
        <v>790</v>
      </c>
      <c r="AI6" s="2343"/>
      <c r="AJ6" s="2428"/>
      <c r="AK6" s="839" t="s">
        <v>791</v>
      </c>
      <c r="AL6" s="644" t="s">
        <v>792</v>
      </c>
      <c r="AM6" s="503" t="s">
        <v>793</v>
      </c>
      <c r="AN6" s="503" t="str">
        <f>"амортизация за "&amp;'0. Анкета'!C15-2&amp;" год, на деятельность по передаче э/э"</f>
        <v>амортизация за 2022 год, на деятельность по передаче э/э</v>
      </c>
      <c r="AO6" s="503" t="str">
        <f>"налог на имущество за "&amp;'0. Анкета'!C15-2&amp;" год, на деятельность по передаче э/э"</f>
        <v>налог на имущество за 2022 год, на деятельность по передаче э/э</v>
      </c>
      <c r="AP6" s="2355" t="s">
        <v>2226</v>
      </c>
    </row>
    <row r="7" spans="2:42">
      <c r="B7" s="2345"/>
      <c r="C7" s="2345"/>
      <c r="D7" s="2382"/>
      <c r="E7" s="2345"/>
      <c r="F7" s="2345"/>
      <c r="G7" s="2345"/>
      <c r="H7" s="2343"/>
      <c r="I7" s="2343"/>
      <c r="J7" s="2343"/>
      <c r="K7" s="644" t="s">
        <v>578</v>
      </c>
      <c r="L7" s="644" t="s">
        <v>794</v>
      </c>
      <c r="M7" s="838" t="s">
        <v>578</v>
      </c>
      <c r="N7" s="644" t="s">
        <v>578</v>
      </c>
      <c r="O7" s="644" t="s">
        <v>578</v>
      </c>
      <c r="P7" s="644" t="s">
        <v>794</v>
      </c>
      <c r="Q7" s="644" t="s">
        <v>578</v>
      </c>
      <c r="R7" s="644" t="s">
        <v>578</v>
      </c>
      <c r="S7" s="644" t="s">
        <v>578</v>
      </c>
      <c r="T7" s="644" t="s">
        <v>578</v>
      </c>
      <c r="U7" s="644" t="s">
        <v>578</v>
      </c>
      <c r="V7" s="644" t="s">
        <v>578</v>
      </c>
      <c r="W7" s="644" t="s">
        <v>268</v>
      </c>
      <c r="X7" s="644" t="s">
        <v>578</v>
      </c>
      <c r="Y7" s="644" t="s">
        <v>578</v>
      </c>
      <c r="Z7" s="644" t="s">
        <v>578</v>
      </c>
      <c r="AA7" s="839" t="s">
        <v>794</v>
      </c>
      <c r="AB7" s="644" t="s">
        <v>578</v>
      </c>
      <c r="AC7" s="644" t="s">
        <v>578</v>
      </c>
      <c r="AD7" s="644" t="s">
        <v>578</v>
      </c>
      <c r="AE7" s="644" t="s">
        <v>268</v>
      </c>
      <c r="AF7" s="644" t="s">
        <v>578</v>
      </c>
      <c r="AG7" s="644" t="s">
        <v>268</v>
      </c>
      <c r="AH7" s="644" t="s">
        <v>578</v>
      </c>
      <c r="AI7" s="644" t="s">
        <v>578</v>
      </c>
      <c r="AJ7" s="644" t="s">
        <v>578</v>
      </c>
      <c r="AK7" s="839" t="s">
        <v>794</v>
      </c>
      <c r="AL7" s="644" t="s">
        <v>578</v>
      </c>
      <c r="AM7" s="644" t="s">
        <v>578</v>
      </c>
      <c r="AN7" s="644" t="s">
        <v>578</v>
      </c>
      <c r="AO7" s="644" t="s">
        <v>578</v>
      </c>
      <c r="AP7" s="2355"/>
    </row>
    <row r="8" spans="2:42">
      <c r="B8" s="840">
        <v>1</v>
      </c>
      <c r="C8" s="841">
        <f>B8+1</f>
        <v>2</v>
      </c>
      <c r="D8" s="841"/>
      <c r="E8" s="841">
        <f>C8+1</f>
        <v>3</v>
      </c>
      <c r="F8" s="841">
        <f t="shared" ref="F8:AO8" si="0">E8+1</f>
        <v>4</v>
      </c>
      <c r="G8" s="841">
        <f t="shared" si="0"/>
        <v>5</v>
      </c>
      <c r="H8" s="841">
        <f t="shared" si="0"/>
        <v>6</v>
      </c>
      <c r="I8" s="841">
        <f t="shared" si="0"/>
        <v>7</v>
      </c>
      <c r="J8" s="841">
        <f t="shared" si="0"/>
        <v>8</v>
      </c>
      <c r="K8" s="841">
        <f t="shared" si="0"/>
        <v>9</v>
      </c>
      <c r="L8" s="841">
        <f t="shared" si="0"/>
        <v>10</v>
      </c>
      <c r="M8" s="841">
        <f t="shared" si="0"/>
        <v>11</v>
      </c>
      <c r="N8" s="841">
        <f t="shared" si="0"/>
        <v>12</v>
      </c>
      <c r="O8" s="841">
        <f t="shared" si="0"/>
        <v>13</v>
      </c>
      <c r="P8" s="841">
        <f t="shared" si="0"/>
        <v>14</v>
      </c>
      <c r="Q8" s="841">
        <f t="shared" si="0"/>
        <v>15</v>
      </c>
      <c r="R8" s="841">
        <f t="shared" si="0"/>
        <v>16</v>
      </c>
      <c r="S8" s="841">
        <f t="shared" si="0"/>
        <v>17</v>
      </c>
      <c r="T8" s="841">
        <f t="shared" si="0"/>
        <v>18</v>
      </c>
      <c r="U8" s="841">
        <f t="shared" si="0"/>
        <v>19</v>
      </c>
      <c r="V8" s="841">
        <f t="shared" si="0"/>
        <v>20</v>
      </c>
      <c r="W8" s="841">
        <f t="shared" si="0"/>
        <v>21</v>
      </c>
      <c r="X8" s="841">
        <f t="shared" si="0"/>
        <v>22</v>
      </c>
      <c r="Y8" s="841">
        <f t="shared" si="0"/>
        <v>23</v>
      </c>
      <c r="Z8" s="841">
        <f t="shared" si="0"/>
        <v>24</v>
      </c>
      <c r="AA8" s="841">
        <f t="shared" si="0"/>
        <v>25</v>
      </c>
      <c r="AB8" s="841">
        <f t="shared" si="0"/>
        <v>26</v>
      </c>
      <c r="AC8" s="841">
        <f t="shared" si="0"/>
        <v>27</v>
      </c>
      <c r="AD8" s="841">
        <f t="shared" si="0"/>
        <v>28</v>
      </c>
      <c r="AE8" s="841">
        <f t="shared" si="0"/>
        <v>29</v>
      </c>
      <c r="AF8" s="841">
        <f t="shared" si="0"/>
        <v>30</v>
      </c>
      <c r="AG8" s="841">
        <f t="shared" si="0"/>
        <v>31</v>
      </c>
      <c r="AH8" s="841">
        <f t="shared" si="0"/>
        <v>32</v>
      </c>
      <c r="AI8" s="841">
        <f t="shared" si="0"/>
        <v>33</v>
      </c>
      <c r="AJ8" s="841">
        <f t="shared" si="0"/>
        <v>34</v>
      </c>
      <c r="AK8" s="841">
        <f t="shared" si="0"/>
        <v>35</v>
      </c>
      <c r="AL8" s="841">
        <f t="shared" si="0"/>
        <v>36</v>
      </c>
      <c r="AM8" s="841">
        <f t="shared" si="0"/>
        <v>37</v>
      </c>
      <c r="AN8" s="841">
        <f t="shared" si="0"/>
        <v>38</v>
      </c>
      <c r="AO8" s="841">
        <f t="shared" si="0"/>
        <v>39</v>
      </c>
      <c r="AP8" s="841">
        <f>AN8+1</f>
        <v>39</v>
      </c>
    </row>
    <row r="9" spans="2:42">
      <c r="B9" s="842">
        <f>ROW()-ROW(B$8)</f>
        <v>1</v>
      </c>
      <c r="C9" s="843"/>
      <c r="D9" s="844"/>
      <c r="E9" s="843"/>
      <c r="F9" s="844"/>
      <c r="G9" s="844"/>
      <c r="H9" s="843"/>
      <c r="I9" s="845"/>
      <c r="J9" s="845"/>
      <c r="K9" s="846"/>
      <c r="L9" s="845"/>
      <c r="M9" s="846"/>
      <c r="N9" s="846"/>
      <c r="O9" s="846"/>
      <c r="P9" s="845"/>
      <c r="Q9" s="846"/>
      <c r="R9" s="846"/>
      <c r="S9" s="656"/>
      <c r="T9" s="846"/>
      <c r="U9" s="846"/>
      <c r="V9" s="846"/>
      <c r="W9" s="847"/>
      <c r="X9" s="848">
        <f>V9*W9</f>
        <v>0</v>
      </c>
      <c r="Y9" s="849"/>
      <c r="Z9" s="849"/>
      <c r="AA9" s="849"/>
      <c r="AB9" s="656"/>
      <c r="AC9" s="846"/>
      <c r="AD9" s="846"/>
      <c r="AE9" s="847"/>
      <c r="AF9" s="848">
        <f>AD9*AE9</f>
        <v>0</v>
      </c>
      <c r="AG9" s="847"/>
      <c r="AH9" s="848">
        <f>AF9*AG9</f>
        <v>0</v>
      </c>
      <c r="AI9" s="656"/>
      <c r="AJ9" s="656"/>
      <c r="AK9" s="846"/>
      <c r="AL9" s="846"/>
      <c r="AM9" s="846"/>
      <c r="AN9" s="846"/>
      <c r="AO9" s="846"/>
      <c r="AP9" s="846"/>
    </row>
    <row r="10" spans="2:42">
      <c r="B10" s="842">
        <f t="shared" ref="B10:B58" si="1">ROW()-ROW(B$8)</f>
        <v>2</v>
      </c>
      <c r="C10" s="843"/>
      <c r="D10" s="844"/>
      <c r="E10" s="843"/>
      <c r="F10" s="844"/>
      <c r="G10" s="844"/>
      <c r="H10" s="843"/>
      <c r="I10" s="845"/>
      <c r="J10" s="850"/>
      <c r="K10" s="846"/>
      <c r="L10" s="845"/>
      <c r="M10" s="846"/>
      <c r="N10" s="846"/>
      <c r="O10" s="846"/>
      <c r="P10" s="845"/>
      <c r="Q10" s="846"/>
      <c r="R10" s="846"/>
      <c r="S10" s="656"/>
      <c r="T10" s="846"/>
      <c r="U10" s="846"/>
      <c r="V10" s="846"/>
      <c r="W10" s="847"/>
      <c r="X10" s="848">
        <f t="shared" ref="X10:X58" si="2">V10*W10</f>
        <v>0</v>
      </c>
      <c r="Y10" s="849"/>
      <c r="Z10" s="849"/>
      <c r="AA10" s="849"/>
      <c r="AB10" s="656"/>
      <c r="AC10" s="846"/>
      <c r="AD10" s="846"/>
      <c r="AE10" s="847"/>
      <c r="AF10" s="848">
        <f t="shared" ref="AF10:AF58" si="3">AD10*AE10</f>
        <v>0</v>
      </c>
      <c r="AG10" s="847"/>
      <c r="AH10" s="848">
        <f t="shared" ref="AH10:AH58" si="4">AF10*AG10</f>
        <v>0</v>
      </c>
      <c r="AI10" s="656"/>
      <c r="AJ10" s="656"/>
      <c r="AK10" s="846"/>
      <c r="AL10" s="846"/>
      <c r="AM10" s="846"/>
      <c r="AN10" s="846"/>
      <c r="AO10" s="846"/>
      <c r="AP10" s="846"/>
    </row>
    <row r="11" spans="2:42">
      <c r="B11" s="842">
        <f t="shared" si="1"/>
        <v>3</v>
      </c>
      <c r="C11" s="843"/>
      <c r="D11" s="844"/>
      <c r="E11" s="843"/>
      <c r="F11" s="844"/>
      <c r="G11" s="844"/>
      <c r="H11" s="843"/>
      <c r="I11" s="845"/>
      <c r="J11" s="850"/>
      <c r="K11" s="846"/>
      <c r="L11" s="845"/>
      <c r="M11" s="846"/>
      <c r="N11" s="846"/>
      <c r="O11" s="846"/>
      <c r="P11" s="845"/>
      <c r="Q11" s="846"/>
      <c r="R11" s="846"/>
      <c r="S11" s="656"/>
      <c r="T11" s="846"/>
      <c r="U11" s="846"/>
      <c r="V11" s="846"/>
      <c r="W11" s="847"/>
      <c r="X11" s="848">
        <f t="shared" si="2"/>
        <v>0</v>
      </c>
      <c r="Y11" s="849"/>
      <c r="Z11" s="849"/>
      <c r="AA11" s="849"/>
      <c r="AB11" s="656"/>
      <c r="AC11" s="846"/>
      <c r="AD11" s="846"/>
      <c r="AE11" s="847"/>
      <c r="AF11" s="848">
        <f t="shared" si="3"/>
        <v>0</v>
      </c>
      <c r="AG11" s="847"/>
      <c r="AH11" s="848">
        <f t="shared" si="4"/>
        <v>0</v>
      </c>
      <c r="AI11" s="656"/>
      <c r="AJ11" s="656"/>
      <c r="AK11" s="846"/>
      <c r="AL11" s="846"/>
      <c r="AM11" s="846"/>
      <c r="AN11" s="846"/>
      <c r="AO11" s="846"/>
      <c r="AP11" s="846"/>
    </row>
    <row r="12" spans="2:42">
      <c r="B12" s="842">
        <f t="shared" si="1"/>
        <v>4</v>
      </c>
      <c r="C12" s="843"/>
      <c r="D12" s="844"/>
      <c r="E12" s="843"/>
      <c r="F12" s="844"/>
      <c r="G12" s="844"/>
      <c r="H12" s="843"/>
      <c r="I12" s="845"/>
      <c r="J12" s="850"/>
      <c r="K12" s="846"/>
      <c r="L12" s="845"/>
      <c r="M12" s="846"/>
      <c r="N12" s="846"/>
      <c r="O12" s="846"/>
      <c r="P12" s="845"/>
      <c r="Q12" s="846"/>
      <c r="R12" s="846"/>
      <c r="S12" s="656"/>
      <c r="T12" s="846"/>
      <c r="U12" s="846"/>
      <c r="V12" s="846"/>
      <c r="W12" s="847"/>
      <c r="X12" s="848">
        <f t="shared" si="2"/>
        <v>0</v>
      </c>
      <c r="Y12" s="849"/>
      <c r="Z12" s="849"/>
      <c r="AA12" s="849"/>
      <c r="AB12" s="656"/>
      <c r="AC12" s="846"/>
      <c r="AD12" s="846"/>
      <c r="AE12" s="847"/>
      <c r="AF12" s="848">
        <f t="shared" si="3"/>
        <v>0</v>
      </c>
      <c r="AG12" s="847"/>
      <c r="AH12" s="848">
        <f t="shared" si="4"/>
        <v>0</v>
      </c>
      <c r="AI12" s="656"/>
      <c r="AJ12" s="656"/>
      <c r="AK12" s="846"/>
      <c r="AL12" s="846"/>
      <c r="AM12" s="846"/>
      <c r="AN12" s="846"/>
      <c r="AO12" s="846"/>
      <c r="AP12" s="846"/>
    </row>
    <row r="13" spans="2:42">
      <c r="B13" s="842">
        <f t="shared" si="1"/>
        <v>5</v>
      </c>
      <c r="C13" s="843"/>
      <c r="D13" s="844"/>
      <c r="E13" s="843"/>
      <c r="F13" s="844"/>
      <c r="G13" s="844"/>
      <c r="H13" s="843"/>
      <c r="I13" s="845"/>
      <c r="J13" s="850"/>
      <c r="K13" s="846"/>
      <c r="L13" s="845"/>
      <c r="M13" s="846"/>
      <c r="N13" s="846"/>
      <c r="O13" s="846"/>
      <c r="P13" s="845"/>
      <c r="Q13" s="846"/>
      <c r="R13" s="846"/>
      <c r="S13" s="656"/>
      <c r="T13" s="846"/>
      <c r="U13" s="846"/>
      <c r="V13" s="846"/>
      <c r="W13" s="847"/>
      <c r="X13" s="848">
        <f t="shared" si="2"/>
        <v>0</v>
      </c>
      <c r="Y13" s="849"/>
      <c r="Z13" s="849"/>
      <c r="AA13" s="849"/>
      <c r="AB13" s="656"/>
      <c r="AC13" s="846"/>
      <c r="AD13" s="846"/>
      <c r="AE13" s="847"/>
      <c r="AF13" s="848">
        <f t="shared" si="3"/>
        <v>0</v>
      </c>
      <c r="AG13" s="847"/>
      <c r="AH13" s="848">
        <f t="shared" si="4"/>
        <v>0</v>
      </c>
      <c r="AI13" s="656"/>
      <c r="AJ13" s="656"/>
      <c r="AK13" s="846"/>
      <c r="AL13" s="846"/>
      <c r="AM13" s="846"/>
      <c r="AN13" s="846"/>
      <c r="AO13" s="846"/>
      <c r="AP13" s="846"/>
    </row>
    <row r="14" spans="2:42">
      <c r="B14" s="842">
        <f t="shared" si="1"/>
        <v>6</v>
      </c>
      <c r="C14" s="843"/>
      <c r="D14" s="844"/>
      <c r="E14" s="843"/>
      <c r="F14" s="844"/>
      <c r="G14" s="844"/>
      <c r="H14" s="843"/>
      <c r="I14" s="845"/>
      <c r="J14" s="850"/>
      <c r="K14" s="846"/>
      <c r="L14" s="845"/>
      <c r="M14" s="846"/>
      <c r="N14" s="846"/>
      <c r="O14" s="846"/>
      <c r="P14" s="845"/>
      <c r="Q14" s="846"/>
      <c r="R14" s="846"/>
      <c r="S14" s="656"/>
      <c r="T14" s="846"/>
      <c r="U14" s="846"/>
      <c r="V14" s="846"/>
      <c r="W14" s="847"/>
      <c r="X14" s="848">
        <f t="shared" si="2"/>
        <v>0</v>
      </c>
      <c r="Y14" s="849"/>
      <c r="Z14" s="849"/>
      <c r="AA14" s="849"/>
      <c r="AB14" s="656"/>
      <c r="AC14" s="846"/>
      <c r="AD14" s="846"/>
      <c r="AE14" s="847"/>
      <c r="AF14" s="848">
        <f t="shared" si="3"/>
        <v>0</v>
      </c>
      <c r="AG14" s="847"/>
      <c r="AH14" s="848">
        <f t="shared" si="4"/>
        <v>0</v>
      </c>
      <c r="AI14" s="656"/>
      <c r="AJ14" s="656"/>
      <c r="AK14" s="846"/>
      <c r="AL14" s="846"/>
      <c r="AM14" s="846"/>
      <c r="AN14" s="846"/>
      <c r="AO14" s="846"/>
      <c r="AP14" s="846"/>
    </row>
    <row r="15" spans="2:42">
      <c r="B15" s="842">
        <f t="shared" si="1"/>
        <v>7</v>
      </c>
      <c r="C15" s="843"/>
      <c r="D15" s="844"/>
      <c r="E15" s="843"/>
      <c r="F15" s="844"/>
      <c r="G15" s="844"/>
      <c r="H15" s="843"/>
      <c r="I15" s="845"/>
      <c r="J15" s="850"/>
      <c r="K15" s="846"/>
      <c r="L15" s="845"/>
      <c r="M15" s="846"/>
      <c r="N15" s="846"/>
      <c r="O15" s="846"/>
      <c r="P15" s="845"/>
      <c r="Q15" s="846"/>
      <c r="R15" s="846"/>
      <c r="S15" s="656"/>
      <c r="T15" s="846"/>
      <c r="U15" s="846"/>
      <c r="V15" s="846"/>
      <c r="W15" s="847"/>
      <c r="X15" s="848">
        <f t="shared" si="2"/>
        <v>0</v>
      </c>
      <c r="Y15" s="849"/>
      <c r="Z15" s="849"/>
      <c r="AA15" s="849"/>
      <c r="AB15" s="656"/>
      <c r="AC15" s="846"/>
      <c r="AD15" s="846"/>
      <c r="AE15" s="847"/>
      <c r="AF15" s="848">
        <f t="shared" si="3"/>
        <v>0</v>
      </c>
      <c r="AG15" s="847"/>
      <c r="AH15" s="848">
        <f t="shared" si="4"/>
        <v>0</v>
      </c>
      <c r="AI15" s="656"/>
      <c r="AJ15" s="656"/>
      <c r="AK15" s="846"/>
      <c r="AL15" s="846"/>
      <c r="AM15" s="846"/>
      <c r="AN15" s="846"/>
      <c r="AO15" s="846"/>
      <c r="AP15" s="846"/>
    </row>
    <row r="16" spans="2:42">
      <c r="B16" s="842">
        <f t="shared" si="1"/>
        <v>8</v>
      </c>
      <c r="C16" s="843"/>
      <c r="D16" s="844"/>
      <c r="E16" s="843"/>
      <c r="F16" s="844"/>
      <c r="G16" s="844"/>
      <c r="H16" s="843"/>
      <c r="I16" s="845"/>
      <c r="J16" s="850"/>
      <c r="K16" s="846"/>
      <c r="L16" s="845"/>
      <c r="M16" s="846"/>
      <c r="N16" s="846"/>
      <c r="O16" s="846"/>
      <c r="P16" s="845"/>
      <c r="Q16" s="846"/>
      <c r="R16" s="846"/>
      <c r="S16" s="656"/>
      <c r="T16" s="846"/>
      <c r="U16" s="846"/>
      <c r="V16" s="846"/>
      <c r="W16" s="847"/>
      <c r="X16" s="848">
        <f t="shared" si="2"/>
        <v>0</v>
      </c>
      <c r="Y16" s="849"/>
      <c r="Z16" s="849"/>
      <c r="AA16" s="849"/>
      <c r="AB16" s="656"/>
      <c r="AC16" s="846"/>
      <c r="AD16" s="846"/>
      <c r="AE16" s="847"/>
      <c r="AF16" s="848">
        <f t="shared" si="3"/>
        <v>0</v>
      </c>
      <c r="AG16" s="847"/>
      <c r="AH16" s="848">
        <f t="shared" si="4"/>
        <v>0</v>
      </c>
      <c r="AI16" s="656"/>
      <c r="AJ16" s="656"/>
      <c r="AK16" s="846"/>
      <c r="AL16" s="846"/>
      <c r="AM16" s="846"/>
      <c r="AN16" s="846"/>
      <c r="AO16" s="846"/>
      <c r="AP16" s="846"/>
    </row>
    <row r="17" spans="2:42">
      <c r="B17" s="842">
        <f t="shared" si="1"/>
        <v>9</v>
      </c>
      <c r="C17" s="843"/>
      <c r="D17" s="844"/>
      <c r="E17" s="843"/>
      <c r="F17" s="844"/>
      <c r="G17" s="844"/>
      <c r="H17" s="843"/>
      <c r="I17" s="845"/>
      <c r="J17" s="850"/>
      <c r="K17" s="846"/>
      <c r="L17" s="845"/>
      <c r="M17" s="846"/>
      <c r="N17" s="846"/>
      <c r="O17" s="846"/>
      <c r="P17" s="845"/>
      <c r="Q17" s="846"/>
      <c r="R17" s="846"/>
      <c r="S17" s="656"/>
      <c r="T17" s="846"/>
      <c r="U17" s="846"/>
      <c r="V17" s="846"/>
      <c r="W17" s="847"/>
      <c r="X17" s="848">
        <f t="shared" si="2"/>
        <v>0</v>
      </c>
      <c r="Y17" s="849"/>
      <c r="Z17" s="849"/>
      <c r="AA17" s="849"/>
      <c r="AB17" s="656"/>
      <c r="AC17" s="846"/>
      <c r="AD17" s="846"/>
      <c r="AE17" s="847"/>
      <c r="AF17" s="848">
        <f t="shared" si="3"/>
        <v>0</v>
      </c>
      <c r="AG17" s="847"/>
      <c r="AH17" s="848">
        <f t="shared" si="4"/>
        <v>0</v>
      </c>
      <c r="AI17" s="656"/>
      <c r="AJ17" s="656"/>
      <c r="AK17" s="846"/>
      <c r="AL17" s="846"/>
      <c r="AM17" s="846"/>
      <c r="AN17" s="846"/>
      <c r="AO17" s="846"/>
      <c r="AP17" s="846"/>
    </row>
    <row r="18" spans="2:42">
      <c r="B18" s="842">
        <f t="shared" si="1"/>
        <v>10</v>
      </c>
      <c r="C18" s="843"/>
      <c r="D18" s="844"/>
      <c r="E18" s="843"/>
      <c r="F18" s="844"/>
      <c r="G18" s="844"/>
      <c r="H18" s="843"/>
      <c r="I18" s="845"/>
      <c r="J18" s="850"/>
      <c r="K18" s="846"/>
      <c r="L18" s="845"/>
      <c r="M18" s="846"/>
      <c r="N18" s="846"/>
      <c r="O18" s="846"/>
      <c r="P18" s="845"/>
      <c r="Q18" s="846"/>
      <c r="R18" s="846"/>
      <c r="S18" s="656"/>
      <c r="T18" s="846"/>
      <c r="U18" s="846"/>
      <c r="V18" s="846"/>
      <c r="W18" s="847"/>
      <c r="X18" s="848">
        <f t="shared" si="2"/>
        <v>0</v>
      </c>
      <c r="Y18" s="849"/>
      <c r="Z18" s="849"/>
      <c r="AA18" s="849"/>
      <c r="AB18" s="656"/>
      <c r="AC18" s="846"/>
      <c r="AD18" s="846"/>
      <c r="AE18" s="847"/>
      <c r="AF18" s="848">
        <f t="shared" si="3"/>
        <v>0</v>
      </c>
      <c r="AG18" s="847"/>
      <c r="AH18" s="848">
        <f t="shared" si="4"/>
        <v>0</v>
      </c>
      <c r="AI18" s="656"/>
      <c r="AJ18" s="656"/>
      <c r="AK18" s="846"/>
      <c r="AL18" s="846"/>
      <c r="AM18" s="846"/>
      <c r="AN18" s="846"/>
      <c r="AO18" s="846"/>
      <c r="AP18" s="846"/>
    </row>
    <row r="19" spans="2:42">
      <c r="B19" s="842">
        <f t="shared" si="1"/>
        <v>11</v>
      </c>
      <c r="C19" s="843"/>
      <c r="D19" s="844"/>
      <c r="E19" s="843"/>
      <c r="F19" s="844"/>
      <c r="G19" s="844"/>
      <c r="H19" s="843"/>
      <c r="I19" s="845"/>
      <c r="J19" s="850"/>
      <c r="K19" s="846"/>
      <c r="L19" s="845"/>
      <c r="M19" s="846"/>
      <c r="N19" s="846"/>
      <c r="O19" s="846"/>
      <c r="P19" s="845"/>
      <c r="Q19" s="846"/>
      <c r="R19" s="846"/>
      <c r="S19" s="656"/>
      <c r="T19" s="846"/>
      <c r="U19" s="846"/>
      <c r="V19" s="846"/>
      <c r="W19" s="847"/>
      <c r="X19" s="848">
        <f t="shared" si="2"/>
        <v>0</v>
      </c>
      <c r="Y19" s="849"/>
      <c r="Z19" s="849"/>
      <c r="AA19" s="849"/>
      <c r="AB19" s="656"/>
      <c r="AC19" s="846"/>
      <c r="AD19" s="846"/>
      <c r="AE19" s="847"/>
      <c r="AF19" s="848">
        <f t="shared" si="3"/>
        <v>0</v>
      </c>
      <c r="AG19" s="847"/>
      <c r="AH19" s="848">
        <f t="shared" si="4"/>
        <v>0</v>
      </c>
      <c r="AI19" s="656"/>
      <c r="AJ19" s="656"/>
      <c r="AK19" s="846"/>
      <c r="AL19" s="846"/>
      <c r="AM19" s="846"/>
      <c r="AN19" s="846"/>
      <c r="AO19" s="846"/>
      <c r="AP19" s="846"/>
    </row>
    <row r="20" spans="2:42">
      <c r="B20" s="842">
        <f t="shared" si="1"/>
        <v>12</v>
      </c>
      <c r="C20" s="843"/>
      <c r="D20" s="844"/>
      <c r="E20" s="843"/>
      <c r="F20" s="844"/>
      <c r="G20" s="844"/>
      <c r="H20" s="843"/>
      <c r="I20" s="845"/>
      <c r="J20" s="850"/>
      <c r="K20" s="846"/>
      <c r="L20" s="845"/>
      <c r="M20" s="846"/>
      <c r="N20" s="846"/>
      <c r="O20" s="846"/>
      <c r="P20" s="845"/>
      <c r="Q20" s="846"/>
      <c r="R20" s="846"/>
      <c r="S20" s="656"/>
      <c r="T20" s="846"/>
      <c r="U20" s="846"/>
      <c r="V20" s="846"/>
      <c r="W20" s="847"/>
      <c r="X20" s="848">
        <f t="shared" si="2"/>
        <v>0</v>
      </c>
      <c r="Y20" s="849"/>
      <c r="Z20" s="849"/>
      <c r="AA20" s="849"/>
      <c r="AB20" s="656"/>
      <c r="AC20" s="846"/>
      <c r="AD20" s="846"/>
      <c r="AE20" s="847"/>
      <c r="AF20" s="848">
        <f t="shared" si="3"/>
        <v>0</v>
      </c>
      <c r="AG20" s="847"/>
      <c r="AH20" s="848">
        <f t="shared" si="4"/>
        <v>0</v>
      </c>
      <c r="AI20" s="656"/>
      <c r="AJ20" s="656"/>
      <c r="AK20" s="846"/>
      <c r="AL20" s="846"/>
      <c r="AM20" s="846"/>
      <c r="AN20" s="846"/>
      <c r="AO20" s="846"/>
      <c r="AP20" s="846"/>
    </row>
    <row r="21" spans="2:42">
      <c r="B21" s="842">
        <f t="shared" si="1"/>
        <v>13</v>
      </c>
      <c r="C21" s="843"/>
      <c r="D21" s="844"/>
      <c r="E21" s="843"/>
      <c r="F21" s="844"/>
      <c r="G21" s="844"/>
      <c r="H21" s="843"/>
      <c r="I21" s="845"/>
      <c r="J21" s="850"/>
      <c r="K21" s="846"/>
      <c r="L21" s="845"/>
      <c r="M21" s="846"/>
      <c r="N21" s="846"/>
      <c r="O21" s="846"/>
      <c r="P21" s="845"/>
      <c r="Q21" s="846"/>
      <c r="R21" s="846"/>
      <c r="S21" s="656"/>
      <c r="T21" s="846"/>
      <c r="U21" s="846"/>
      <c r="V21" s="846"/>
      <c r="W21" s="847"/>
      <c r="X21" s="848">
        <f t="shared" si="2"/>
        <v>0</v>
      </c>
      <c r="Y21" s="849"/>
      <c r="Z21" s="849"/>
      <c r="AA21" s="849"/>
      <c r="AB21" s="656"/>
      <c r="AC21" s="846"/>
      <c r="AD21" s="846"/>
      <c r="AE21" s="847"/>
      <c r="AF21" s="848">
        <f t="shared" si="3"/>
        <v>0</v>
      </c>
      <c r="AG21" s="847"/>
      <c r="AH21" s="848">
        <f t="shared" si="4"/>
        <v>0</v>
      </c>
      <c r="AI21" s="656"/>
      <c r="AJ21" s="656"/>
      <c r="AK21" s="846"/>
      <c r="AL21" s="846"/>
      <c r="AM21" s="846"/>
      <c r="AN21" s="846"/>
      <c r="AO21" s="846"/>
      <c r="AP21" s="846"/>
    </row>
    <row r="22" spans="2:42">
      <c r="B22" s="842">
        <f t="shared" si="1"/>
        <v>14</v>
      </c>
      <c r="C22" s="843"/>
      <c r="D22" s="844"/>
      <c r="E22" s="843"/>
      <c r="F22" s="844"/>
      <c r="G22" s="844"/>
      <c r="H22" s="843"/>
      <c r="I22" s="845"/>
      <c r="J22" s="850"/>
      <c r="K22" s="846"/>
      <c r="L22" s="845"/>
      <c r="M22" s="846"/>
      <c r="N22" s="846"/>
      <c r="O22" s="846"/>
      <c r="P22" s="845"/>
      <c r="Q22" s="846"/>
      <c r="R22" s="846"/>
      <c r="S22" s="656"/>
      <c r="T22" s="846"/>
      <c r="U22" s="846"/>
      <c r="V22" s="846"/>
      <c r="W22" s="847"/>
      <c r="X22" s="848">
        <f t="shared" si="2"/>
        <v>0</v>
      </c>
      <c r="Y22" s="849"/>
      <c r="Z22" s="849"/>
      <c r="AA22" s="849"/>
      <c r="AB22" s="656"/>
      <c r="AC22" s="846"/>
      <c r="AD22" s="846"/>
      <c r="AE22" s="847"/>
      <c r="AF22" s="848">
        <f t="shared" si="3"/>
        <v>0</v>
      </c>
      <c r="AG22" s="847"/>
      <c r="AH22" s="848">
        <f t="shared" si="4"/>
        <v>0</v>
      </c>
      <c r="AI22" s="656"/>
      <c r="AJ22" s="656"/>
      <c r="AK22" s="846"/>
      <c r="AL22" s="846"/>
      <c r="AM22" s="846"/>
      <c r="AN22" s="846"/>
      <c r="AO22" s="846"/>
      <c r="AP22" s="846"/>
    </row>
    <row r="23" spans="2:42">
      <c r="B23" s="842">
        <f t="shared" si="1"/>
        <v>15</v>
      </c>
      <c r="C23" s="843"/>
      <c r="D23" s="844"/>
      <c r="E23" s="843"/>
      <c r="F23" s="844"/>
      <c r="G23" s="844"/>
      <c r="H23" s="843"/>
      <c r="I23" s="845"/>
      <c r="J23" s="850"/>
      <c r="K23" s="846"/>
      <c r="L23" s="845"/>
      <c r="M23" s="846"/>
      <c r="N23" s="846"/>
      <c r="O23" s="846"/>
      <c r="P23" s="845"/>
      <c r="Q23" s="846"/>
      <c r="R23" s="846"/>
      <c r="S23" s="656"/>
      <c r="T23" s="846"/>
      <c r="U23" s="846"/>
      <c r="V23" s="846"/>
      <c r="W23" s="847"/>
      <c r="X23" s="848">
        <f t="shared" si="2"/>
        <v>0</v>
      </c>
      <c r="Y23" s="849"/>
      <c r="Z23" s="849"/>
      <c r="AA23" s="849"/>
      <c r="AB23" s="656"/>
      <c r="AC23" s="846"/>
      <c r="AD23" s="846"/>
      <c r="AE23" s="847"/>
      <c r="AF23" s="848">
        <f t="shared" si="3"/>
        <v>0</v>
      </c>
      <c r="AG23" s="847"/>
      <c r="AH23" s="848">
        <f t="shared" si="4"/>
        <v>0</v>
      </c>
      <c r="AI23" s="656"/>
      <c r="AJ23" s="656"/>
      <c r="AK23" s="846"/>
      <c r="AL23" s="846"/>
      <c r="AM23" s="846"/>
      <c r="AN23" s="846"/>
      <c r="AO23" s="846"/>
      <c r="AP23" s="846"/>
    </row>
    <row r="24" spans="2:42">
      <c r="B24" s="842">
        <f t="shared" si="1"/>
        <v>16</v>
      </c>
      <c r="C24" s="843"/>
      <c r="D24" s="844"/>
      <c r="E24" s="843"/>
      <c r="F24" s="844"/>
      <c r="G24" s="844"/>
      <c r="H24" s="843"/>
      <c r="I24" s="845"/>
      <c r="J24" s="850"/>
      <c r="K24" s="846"/>
      <c r="L24" s="845"/>
      <c r="M24" s="846"/>
      <c r="N24" s="846"/>
      <c r="O24" s="846"/>
      <c r="P24" s="845"/>
      <c r="Q24" s="846"/>
      <c r="R24" s="846"/>
      <c r="S24" s="656"/>
      <c r="T24" s="846"/>
      <c r="U24" s="846"/>
      <c r="V24" s="846"/>
      <c r="W24" s="847"/>
      <c r="X24" s="848">
        <f t="shared" si="2"/>
        <v>0</v>
      </c>
      <c r="Y24" s="849"/>
      <c r="Z24" s="849"/>
      <c r="AA24" s="849"/>
      <c r="AB24" s="656"/>
      <c r="AC24" s="846"/>
      <c r="AD24" s="846"/>
      <c r="AE24" s="847"/>
      <c r="AF24" s="848">
        <f t="shared" si="3"/>
        <v>0</v>
      </c>
      <c r="AG24" s="847"/>
      <c r="AH24" s="848">
        <f t="shared" si="4"/>
        <v>0</v>
      </c>
      <c r="AI24" s="656"/>
      <c r="AJ24" s="656"/>
      <c r="AK24" s="846"/>
      <c r="AL24" s="846"/>
      <c r="AM24" s="846"/>
      <c r="AN24" s="846"/>
      <c r="AO24" s="846"/>
      <c r="AP24" s="846"/>
    </row>
    <row r="25" spans="2:42">
      <c r="B25" s="842">
        <f t="shared" si="1"/>
        <v>17</v>
      </c>
      <c r="C25" s="843"/>
      <c r="D25" s="844"/>
      <c r="E25" s="843"/>
      <c r="F25" s="844"/>
      <c r="G25" s="844"/>
      <c r="H25" s="843"/>
      <c r="I25" s="845"/>
      <c r="J25" s="850"/>
      <c r="K25" s="846"/>
      <c r="L25" s="845"/>
      <c r="M25" s="846"/>
      <c r="N25" s="846"/>
      <c r="O25" s="846"/>
      <c r="P25" s="845"/>
      <c r="Q25" s="846"/>
      <c r="R25" s="846"/>
      <c r="S25" s="656"/>
      <c r="T25" s="846"/>
      <c r="U25" s="846"/>
      <c r="V25" s="846"/>
      <c r="W25" s="847"/>
      <c r="X25" s="848">
        <f t="shared" si="2"/>
        <v>0</v>
      </c>
      <c r="Y25" s="849"/>
      <c r="Z25" s="849"/>
      <c r="AA25" s="849"/>
      <c r="AB25" s="656"/>
      <c r="AC25" s="846"/>
      <c r="AD25" s="846"/>
      <c r="AE25" s="847"/>
      <c r="AF25" s="848">
        <f t="shared" si="3"/>
        <v>0</v>
      </c>
      <c r="AG25" s="847"/>
      <c r="AH25" s="848">
        <f t="shared" si="4"/>
        <v>0</v>
      </c>
      <c r="AI25" s="656"/>
      <c r="AJ25" s="656"/>
      <c r="AK25" s="846"/>
      <c r="AL25" s="846"/>
      <c r="AM25" s="846"/>
      <c r="AN25" s="846"/>
      <c r="AO25" s="846"/>
      <c r="AP25" s="846"/>
    </row>
    <row r="26" spans="2:42">
      <c r="B26" s="842">
        <f t="shared" si="1"/>
        <v>18</v>
      </c>
      <c r="C26" s="843"/>
      <c r="D26" s="844"/>
      <c r="E26" s="843"/>
      <c r="F26" s="844"/>
      <c r="G26" s="844"/>
      <c r="H26" s="843"/>
      <c r="I26" s="845"/>
      <c r="J26" s="850"/>
      <c r="K26" s="846"/>
      <c r="L26" s="845"/>
      <c r="M26" s="846"/>
      <c r="N26" s="846"/>
      <c r="O26" s="846"/>
      <c r="P26" s="845"/>
      <c r="Q26" s="846"/>
      <c r="R26" s="846"/>
      <c r="S26" s="656"/>
      <c r="T26" s="846"/>
      <c r="U26" s="846"/>
      <c r="V26" s="846"/>
      <c r="W26" s="847"/>
      <c r="X26" s="848">
        <f t="shared" si="2"/>
        <v>0</v>
      </c>
      <c r="Y26" s="849"/>
      <c r="Z26" s="849"/>
      <c r="AA26" s="849"/>
      <c r="AB26" s="656"/>
      <c r="AC26" s="846"/>
      <c r="AD26" s="846"/>
      <c r="AE26" s="847"/>
      <c r="AF26" s="848">
        <f t="shared" si="3"/>
        <v>0</v>
      </c>
      <c r="AG26" s="847"/>
      <c r="AH26" s="848">
        <f t="shared" si="4"/>
        <v>0</v>
      </c>
      <c r="AI26" s="656"/>
      <c r="AJ26" s="656"/>
      <c r="AK26" s="846"/>
      <c r="AL26" s="846"/>
      <c r="AM26" s="846"/>
      <c r="AN26" s="846"/>
      <c r="AO26" s="846"/>
      <c r="AP26" s="846"/>
    </row>
    <row r="27" spans="2:42">
      <c r="B27" s="842">
        <f t="shared" si="1"/>
        <v>19</v>
      </c>
      <c r="C27" s="843"/>
      <c r="D27" s="844"/>
      <c r="E27" s="843"/>
      <c r="F27" s="844"/>
      <c r="G27" s="844"/>
      <c r="H27" s="843"/>
      <c r="I27" s="845"/>
      <c r="J27" s="850"/>
      <c r="K27" s="846"/>
      <c r="L27" s="845"/>
      <c r="M27" s="846"/>
      <c r="N27" s="846"/>
      <c r="O27" s="846"/>
      <c r="P27" s="845"/>
      <c r="Q27" s="846"/>
      <c r="R27" s="846"/>
      <c r="S27" s="656"/>
      <c r="T27" s="846"/>
      <c r="U27" s="846"/>
      <c r="V27" s="846"/>
      <c r="W27" s="847"/>
      <c r="X27" s="848">
        <f t="shared" si="2"/>
        <v>0</v>
      </c>
      <c r="Y27" s="849"/>
      <c r="Z27" s="849"/>
      <c r="AA27" s="849"/>
      <c r="AB27" s="656"/>
      <c r="AC27" s="846"/>
      <c r="AD27" s="846"/>
      <c r="AE27" s="847"/>
      <c r="AF27" s="848">
        <f t="shared" si="3"/>
        <v>0</v>
      </c>
      <c r="AG27" s="847"/>
      <c r="AH27" s="848">
        <f t="shared" si="4"/>
        <v>0</v>
      </c>
      <c r="AI27" s="656"/>
      <c r="AJ27" s="656"/>
      <c r="AK27" s="846"/>
      <c r="AL27" s="846"/>
      <c r="AM27" s="846"/>
      <c r="AN27" s="846"/>
      <c r="AO27" s="846"/>
      <c r="AP27" s="846"/>
    </row>
    <row r="28" spans="2:42">
      <c r="B28" s="842">
        <f t="shared" si="1"/>
        <v>20</v>
      </c>
      <c r="C28" s="843"/>
      <c r="D28" s="844"/>
      <c r="E28" s="843"/>
      <c r="F28" s="844"/>
      <c r="G28" s="844"/>
      <c r="H28" s="843"/>
      <c r="I28" s="845"/>
      <c r="J28" s="850"/>
      <c r="K28" s="846"/>
      <c r="L28" s="845"/>
      <c r="M28" s="846"/>
      <c r="N28" s="846"/>
      <c r="O28" s="846"/>
      <c r="P28" s="845"/>
      <c r="Q28" s="846"/>
      <c r="R28" s="846"/>
      <c r="S28" s="656"/>
      <c r="T28" s="846"/>
      <c r="U28" s="846"/>
      <c r="V28" s="846"/>
      <c r="W28" s="847"/>
      <c r="X28" s="848">
        <f t="shared" si="2"/>
        <v>0</v>
      </c>
      <c r="Y28" s="849"/>
      <c r="Z28" s="849"/>
      <c r="AA28" s="849"/>
      <c r="AB28" s="656"/>
      <c r="AC28" s="846"/>
      <c r="AD28" s="846"/>
      <c r="AE28" s="847"/>
      <c r="AF28" s="848">
        <f t="shared" si="3"/>
        <v>0</v>
      </c>
      <c r="AG28" s="847"/>
      <c r="AH28" s="848">
        <f t="shared" si="4"/>
        <v>0</v>
      </c>
      <c r="AI28" s="656"/>
      <c r="AJ28" s="656"/>
      <c r="AK28" s="846"/>
      <c r="AL28" s="846"/>
      <c r="AM28" s="846"/>
      <c r="AN28" s="846"/>
      <c r="AO28" s="846"/>
      <c r="AP28" s="846"/>
    </row>
    <row r="29" spans="2:42">
      <c r="B29" s="842">
        <f t="shared" si="1"/>
        <v>21</v>
      </c>
      <c r="C29" s="843"/>
      <c r="D29" s="844"/>
      <c r="E29" s="843"/>
      <c r="F29" s="844"/>
      <c r="G29" s="844"/>
      <c r="H29" s="843"/>
      <c r="I29" s="845"/>
      <c r="J29" s="850"/>
      <c r="K29" s="846"/>
      <c r="L29" s="845"/>
      <c r="M29" s="846"/>
      <c r="N29" s="846"/>
      <c r="O29" s="846"/>
      <c r="P29" s="845"/>
      <c r="Q29" s="846"/>
      <c r="R29" s="846"/>
      <c r="S29" s="656"/>
      <c r="T29" s="846"/>
      <c r="U29" s="846"/>
      <c r="V29" s="846"/>
      <c r="W29" s="847"/>
      <c r="X29" s="848">
        <f t="shared" si="2"/>
        <v>0</v>
      </c>
      <c r="Y29" s="849"/>
      <c r="Z29" s="849"/>
      <c r="AA29" s="849"/>
      <c r="AB29" s="656"/>
      <c r="AC29" s="846"/>
      <c r="AD29" s="846"/>
      <c r="AE29" s="847"/>
      <c r="AF29" s="848">
        <f t="shared" si="3"/>
        <v>0</v>
      </c>
      <c r="AG29" s="847"/>
      <c r="AH29" s="848">
        <f t="shared" si="4"/>
        <v>0</v>
      </c>
      <c r="AI29" s="656"/>
      <c r="AJ29" s="656"/>
      <c r="AK29" s="846"/>
      <c r="AL29" s="846"/>
      <c r="AM29" s="846"/>
      <c r="AN29" s="846"/>
      <c r="AO29" s="846"/>
      <c r="AP29" s="846"/>
    </row>
    <row r="30" spans="2:42">
      <c r="B30" s="842">
        <f t="shared" si="1"/>
        <v>22</v>
      </c>
      <c r="C30" s="843"/>
      <c r="D30" s="844"/>
      <c r="E30" s="843"/>
      <c r="F30" s="844"/>
      <c r="G30" s="844"/>
      <c r="H30" s="843"/>
      <c r="I30" s="845"/>
      <c r="J30" s="850"/>
      <c r="K30" s="846"/>
      <c r="L30" s="845"/>
      <c r="M30" s="846"/>
      <c r="N30" s="846"/>
      <c r="O30" s="846"/>
      <c r="P30" s="845"/>
      <c r="Q30" s="846"/>
      <c r="R30" s="846"/>
      <c r="S30" s="656"/>
      <c r="T30" s="846"/>
      <c r="U30" s="846"/>
      <c r="V30" s="846"/>
      <c r="W30" s="847"/>
      <c r="X30" s="848">
        <f t="shared" si="2"/>
        <v>0</v>
      </c>
      <c r="Y30" s="849"/>
      <c r="Z30" s="849"/>
      <c r="AA30" s="849"/>
      <c r="AB30" s="656"/>
      <c r="AC30" s="846"/>
      <c r="AD30" s="846"/>
      <c r="AE30" s="847"/>
      <c r="AF30" s="848">
        <f t="shared" si="3"/>
        <v>0</v>
      </c>
      <c r="AG30" s="847"/>
      <c r="AH30" s="848">
        <f t="shared" si="4"/>
        <v>0</v>
      </c>
      <c r="AI30" s="656"/>
      <c r="AJ30" s="656"/>
      <c r="AK30" s="846"/>
      <c r="AL30" s="846"/>
      <c r="AM30" s="846"/>
      <c r="AN30" s="846"/>
      <c r="AO30" s="846"/>
      <c r="AP30" s="846"/>
    </row>
    <row r="31" spans="2:42">
      <c r="B31" s="842">
        <f t="shared" si="1"/>
        <v>23</v>
      </c>
      <c r="C31" s="843"/>
      <c r="D31" s="844"/>
      <c r="E31" s="843"/>
      <c r="F31" s="844"/>
      <c r="G31" s="844"/>
      <c r="H31" s="843"/>
      <c r="I31" s="845"/>
      <c r="J31" s="850"/>
      <c r="K31" s="846"/>
      <c r="L31" s="845"/>
      <c r="M31" s="846"/>
      <c r="N31" s="846"/>
      <c r="O31" s="846"/>
      <c r="P31" s="845"/>
      <c r="Q31" s="846"/>
      <c r="R31" s="846"/>
      <c r="S31" s="656"/>
      <c r="T31" s="846"/>
      <c r="U31" s="846"/>
      <c r="V31" s="846"/>
      <c r="W31" s="847"/>
      <c r="X31" s="848">
        <f t="shared" si="2"/>
        <v>0</v>
      </c>
      <c r="Y31" s="849"/>
      <c r="Z31" s="849"/>
      <c r="AA31" s="849"/>
      <c r="AB31" s="656"/>
      <c r="AC31" s="846"/>
      <c r="AD31" s="846"/>
      <c r="AE31" s="847"/>
      <c r="AF31" s="848">
        <f t="shared" si="3"/>
        <v>0</v>
      </c>
      <c r="AG31" s="847"/>
      <c r="AH31" s="848">
        <f t="shared" si="4"/>
        <v>0</v>
      </c>
      <c r="AI31" s="656"/>
      <c r="AJ31" s="656"/>
      <c r="AK31" s="846"/>
      <c r="AL31" s="846"/>
      <c r="AM31" s="846"/>
      <c r="AN31" s="846"/>
      <c r="AO31" s="846"/>
      <c r="AP31" s="846"/>
    </row>
    <row r="32" spans="2:42">
      <c r="B32" s="842">
        <f t="shared" si="1"/>
        <v>24</v>
      </c>
      <c r="C32" s="843"/>
      <c r="D32" s="844"/>
      <c r="E32" s="843"/>
      <c r="F32" s="844"/>
      <c r="G32" s="844"/>
      <c r="H32" s="843"/>
      <c r="I32" s="845"/>
      <c r="J32" s="850"/>
      <c r="K32" s="846"/>
      <c r="L32" s="845"/>
      <c r="M32" s="846"/>
      <c r="N32" s="846"/>
      <c r="O32" s="846"/>
      <c r="P32" s="845"/>
      <c r="Q32" s="846"/>
      <c r="R32" s="846"/>
      <c r="S32" s="656"/>
      <c r="T32" s="846"/>
      <c r="U32" s="846"/>
      <c r="V32" s="846"/>
      <c r="W32" s="847"/>
      <c r="X32" s="848">
        <f t="shared" si="2"/>
        <v>0</v>
      </c>
      <c r="Y32" s="849"/>
      <c r="Z32" s="849"/>
      <c r="AA32" s="849"/>
      <c r="AB32" s="656"/>
      <c r="AC32" s="846"/>
      <c r="AD32" s="846"/>
      <c r="AE32" s="847"/>
      <c r="AF32" s="848">
        <f t="shared" si="3"/>
        <v>0</v>
      </c>
      <c r="AG32" s="847"/>
      <c r="AH32" s="848">
        <f t="shared" si="4"/>
        <v>0</v>
      </c>
      <c r="AI32" s="656"/>
      <c r="AJ32" s="656"/>
      <c r="AK32" s="846"/>
      <c r="AL32" s="846"/>
      <c r="AM32" s="846"/>
      <c r="AN32" s="846"/>
      <c r="AO32" s="846"/>
      <c r="AP32" s="846"/>
    </row>
    <row r="33" spans="2:42">
      <c r="B33" s="842">
        <f t="shared" si="1"/>
        <v>25</v>
      </c>
      <c r="C33" s="843"/>
      <c r="D33" s="844"/>
      <c r="E33" s="843"/>
      <c r="F33" s="844"/>
      <c r="G33" s="844"/>
      <c r="H33" s="843"/>
      <c r="I33" s="845"/>
      <c r="J33" s="850"/>
      <c r="K33" s="846"/>
      <c r="L33" s="845"/>
      <c r="M33" s="846"/>
      <c r="N33" s="846"/>
      <c r="O33" s="846"/>
      <c r="P33" s="845"/>
      <c r="Q33" s="846"/>
      <c r="R33" s="846"/>
      <c r="S33" s="656"/>
      <c r="T33" s="846"/>
      <c r="U33" s="846"/>
      <c r="V33" s="846"/>
      <c r="W33" s="847"/>
      <c r="X33" s="848">
        <f t="shared" si="2"/>
        <v>0</v>
      </c>
      <c r="Y33" s="849"/>
      <c r="Z33" s="849"/>
      <c r="AA33" s="849"/>
      <c r="AB33" s="656"/>
      <c r="AC33" s="846"/>
      <c r="AD33" s="846"/>
      <c r="AE33" s="847"/>
      <c r="AF33" s="848">
        <f t="shared" si="3"/>
        <v>0</v>
      </c>
      <c r="AG33" s="847"/>
      <c r="AH33" s="848">
        <f t="shared" si="4"/>
        <v>0</v>
      </c>
      <c r="AI33" s="656"/>
      <c r="AJ33" s="656"/>
      <c r="AK33" s="846"/>
      <c r="AL33" s="846"/>
      <c r="AM33" s="846"/>
      <c r="AN33" s="846"/>
      <c r="AO33" s="846"/>
      <c r="AP33" s="846"/>
    </row>
    <row r="34" spans="2:42">
      <c r="B34" s="842">
        <f t="shared" si="1"/>
        <v>26</v>
      </c>
      <c r="C34" s="843"/>
      <c r="D34" s="844"/>
      <c r="E34" s="843"/>
      <c r="F34" s="844"/>
      <c r="G34" s="844"/>
      <c r="H34" s="843"/>
      <c r="I34" s="845"/>
      <c r="J34" s="850"/>
      <c r="K34" s="846"/>
      <c r="L34" s="845"/>
      <c r="M34" s="846"/>
      <c r="N34" s="846"/>
      <c r="O34" s="846"/>
      <c r="P34" s="845"/>
      <c r="Q34" s="846"/>
      <c r="R34" s="846"/>
      <c r="S34" s="656"/>
      <c r="T34" s="846"/>
      <c r="U34" s="846"/>
      <c r="V34" s="846"/>
      <c r="W34" s="847"/>
      <c r="X34" s="848">
        <f t="shared" si="2"/>
        <v>0</v>
      </c>
      <c r="Y34" s="849"/>
      <c r="Z34" s="849"/>
      <c r="AA34" s="849"/>
      <c r="AB34" s="656"/>
      <c r="AC34" s="846"/>
      <c r="AD34" s="846"/>
      <c r="AE34" s="847"/>
      <c r="AF34" s="848">
        <f t="shared" si="3"/>
        <v>0</v>
      </c>
      <c r="AG34" s="847"/>
      <c r="AH34" s="848">
        <f t="shared" si="4"/>
        <v>0</v>
      </c>
      <c r="AI34" s="656"/>
      <c r="AJ34" s="656"/>
      <c r="AK34" s="846"/>
      <c r="AL34" s="846"/>
      <c r="AM34" s="846"/>
      <c r="AN34" s="846"/>
      <c r="AO34" s="846"/>
      <c r="AP34" s="846"/>
    </row>
    <row r="35" spans="2:42">
      <c r="B35" s="842">
        <f t="shared" si="1"/>
        <v>27</v>
      </c>
      <c r="C35" s="843"/>
      <c r="D35" s="844"/>
      <c r="E35" s="843"/>
      <c r="F35" s="844"/>
      <c r="G35" s="844"/>
      <c r="H35" s="843"/>
      <c r="I35" s="845"/>
      <c r="J35" s="850"/>
      <c r="K35" s="846"/>
      <c r="L35" s="845"/>
      <c r="M35" s="846"/>
      <c r="N35" s="846"/>
      <c r="O35" s="846"/>
      <c r="P35" s="845"/>
      <c r="Q35" s="846"/>
      <c r="R35" s="846"/>
      <c r="S35" s="656"/>
      <c r="T35" s="846"/>
      <c r="U35" s="846"/>
      <c r="V35" s="846"/>
      <c r="W35" s="847"/>
      <c r="X35" s="848">
        <f t="shared" si="2"/>
        <v>0</v>
      </c>
      <c r="Y35" s="849"/>
      <c r="Z35" s="849"/>
      <c r="AA35" s="849"/>
      <c r="AB35" s="656"/>
      <c r="AC35" s="846"/>
      <c r="AD35" s="846"/>
      <c r="AE35" s="847"/>
      <c r="AF35" s="848">
        <f t="shared" si="3"/>
        <v>0</v>
      </c>
      <c r="AG35" s="847"/>
      <c r="AH35" s="848">
        <f t="shared" si="4"/>
        <v>0</v>
      </c>
      <c r="AI35" s="656"/>
      <c r="AJ35" s="656"/>
      <c r="AK35" s="846"/>
      <c r="AL35" s="846"/>
      <c r="AM35" s="846"/>
      <c r="AN35" s="846"/>
      <c r="AO35" s="846"/>
      <c r="AP35" s="846"/>
    </row>
    <row r="36" spans="2:42">
      <c r="B36" s="842">
        <f t="shared" si="1"/>
        <v>28</v>
      </c>
      <c r="C36" s="843"/>
      <c r="D36" s="844"/>
      <c r="E36" s="843"/>
      <c r="F36" s="844"/>
      <c r="G36" s="844"/>
      <c r="H36" s="843"/>
      <c r="I36" s="845"/>
      <c r="J36" s="850"/>
      <c r="K36" s="846"/>
      <c r="L36" s="845"/>
      <c r="M36" s="846"/>
      <c r="N36" s="846"/>
      <c r="O36" s="846"/>
      <c r="P36" s="845"/>
      <c r="Q36" s="846"/>
      <c r="R36" s="846"/>
      <c r="S36" s="656"/>
      <c r="T36" s="846"/>
      <c r="U36" s="846"/>
      <c r="V36" s="846"/>
      <c r="W36" s="847"/>
      <c r="X36" s="848">
        <f t="shared" si="2"/>
        <v>0</v>
      </c>
      <c r="Y36" s="849"/>
      <c r="Z36" s="849"/>
      <c r="AA36" s="849"/>
      <c r="AB36" s="656"/>
      <c r="AC36" s="846"/>
      <c r="AD36" s="846"/>
      <c r="AE36" s="847"/>
      <c r="AF36" s="848">
        <f t="shared" si="3"/>
        <v>0</v>
      </c>
      <c r="AG36" s="847"/>
      <c r="AH36" s="848">
        <f t="shared" si="4"/>
        <v>0</v>
      </c>
      <c r="AI36" s="656"/>
      <c r="AJ36" s="656"/>
      <c r="AK36" s="846"/>
      <c r="AL36" s="846"/>
      <c r="AM36" s="846"/>
      <c r="AN36" s="846"/>
      <c r="AO36" s="846"/>
      <c r="AP36" s="846"/>
    </row>
    <row r="37" spans="2:42">
      <c r="B37" s="842">
        <f t="shared" si="1"/>
        <v>29</v>
      </c>
      <c r="C37" s="843"/>
      <c r="D37" s="844"/>
      <c r="E37" s="843"/>
      <c r="F37" s="844"/>
      <c r="G37" s="844"/>
      <c r="H37" s="843"/>
      <c r="I37" s="845"/>
      <c r="J37" s="850"/>
      <c r="K37" s="846"/>
      <c r="L37" s="845"/>
      <c r="M37" s="846"/>
      <c r="N37" s="846"/>
      <c r="O37" s="846"/>
      <c r="P37" s="845"/>
      <c r="Q37" s="846"/>
      <c r="R37" s="846"/>
      <c r="S37" s="656"/>
      <c r="T37" s="846"/>
      <c r="U37" s="846"/>
      <c r="V37" s="846"/>
      <c r="W37" s="847"/>
      <c r="X37" s="848">
        <f t="shared" si="2"/>
        <v>0</v>
      </c>
      <c r="Y37" s="849"/>
      <c r="Z37" s="849"/>
      <c r="AA37" s="849"/>
      <c r="AB37" s="656"/>
      <c r="AC37" s="846"/>
      <c r="AD37" s="846"/>
      <c r="AE37" s="847"/>
      <c r="AF37" s="848">
        <f t="shared" si="3"/>
        <v>0</v>
      </c>
      <c r="AG37" s="847"/>
      <c r="AH37" s="848">
        <f t="shared" si="4"/>
        <v>0</v>
      </c>
      <c r="AI37" s="656"/>
      <c r="AJ37" s="656"/>
      <c r="AK37" s="846"/>
      <c r="AL37" s="846"/>
      <c r="AM37" s="846"/>
      <c r="AN37" s="846"/>
      <c r="AO37" s="846"/>
      <c r="AP37" s="846"/>
    </row>
    <row r="38" spans="2:42">
      <c r="B38" s="842">
        <f t="shared" si="1"/>
        <v>30</v>
      </c>
      <c r="C38" s="843"/>
      <c r="D38" s="844"/>
      <c r="E38" s="843"/>
      <c r="F38" s="844"/>
      <c r="G38" s="844"/>
      <c r="H38" s="843"/>
      <c r="I38" s="845"/>
      <c r="J38" s="850"/>
      <c r="K38" s="846"/>
      <c r="L38" s="845"/>
      <c r="M38" s="846"/>
      <c r="N38" s="846"/>
      <c r="O38" s="846"/>
      <c r="P38" s="845"/>
      <c r="Q38" s="846"/>
      <c r="R38" s="846"/>
      <c r="S38" s="656"/>
      <c r="T38" s="846"/>
      <c r="U38" s="846"/>
      <c r="V38" s="846"/>
      <c r="W38" s="847"/>
      <c r="X38" s="848">
        <f t="shared" si="2"/>
        <v>0</v>
      </c>
      <c r="Y38" s="849"/>
      <c r="Z38" s="849"/>
      <c r="AA38" s="849"/>
      <c r="AB38" s="656"/>
      <c r="AC38" s="846"/>
      <c r="AD38" s="846"/>
      <c r="AE38" s="847"/>
      <c r="AF38" s="848">
        <f t="shared" si="3"/>
        <v>0</v>
      </c>
      <c r="AG38" s="847"/>
      <c r="AH38" s="848">
        <f t="shared" si="4"/>
        <v>0</v>
      </c>
      <c r="AI38" s="656"/>
      <c r="AJ38" s="656"/>
      <c r="AK38" s="846"/>
      <c r="AL38" s="846"/>
      <c r="AM38" s="846"/>
      <c r="AN38" s="846"/>
      <c r="AO38" s="846"/>
      <c r="AP38" s="846"/>
    </row>
    <row r="39" spans="2:42">
      <c r="B39" s="842">
        <f t="shared" si="1"/>
        <v>31</v>
      </c>
      <c r="C39" s="843"/>
      <c r="D39" s="844"/>
      <c r="E39" s="843"/>
      <c r="F39" s="844"/>
      <c r="G39" s="844"/>
      <c r="H39" s="843"/>
      <c r="I39" s="845"/>
      <c r="J39" s="850"/>
      <c r="K39" s="846"/>
      <c r="L39" s="845"/>
      <c r="M39" s="846"/>
      <c r="N39" s="846"/>
      <c r="O39" s="846"/>
      <c r="P39" s="845"/>
      <c r="Q39" s="846"/>
      <c r="R39" s="846"/>
      <c r="S39" s="656"/>
      <c r="T39" s="846"/>
      <c r="U39" s="846"/>
      <c r="V39" s="846"/>
      <c r="W39" s="847"/>
      <c r="X39" s="848">
        <f t="shared" si="2"/>
        <v>0</v>
      </c>
      <c r="Y39" s="849"/>
      <c r="Z39" s="849"/>
      <c r="AA39" s="849"/>
      <c r="AB39" s="656"/>
      <c r="AC39" s="846"/>
      <c r="AD39" s="846"/>
      <c r="AE39" s="847"/>
      <c r="AF39" s="848">
        <f t="shared" si="3"/>
        <v>0</v>
      </c>
      <c r="AG39" s="847"/>
      <c r="AH39" s="848">
        <f t="shared" si="4"/>
        <v>0</v>
      </c>
      <c r="AI39" s="656"/>
      <c r="AJ39" s="656"/>
      <c r="AK39" s="846"/>
      <c r="AL39" s="846"/>
      <c r="AM39" s="846"/>
      <c r="AN39" s="846"/>
      <c r="AO39" s="846"/>
      <c r="AP39" s="846"/>
    </row>
    <row r="40" spans="2:42">
      <c r="B40" s="842">
        <f t="shared" si="1"/>
        <v>32</v>
      </c>
      <c r="C40" s="843"/>
      <c r="D40" s="844"/>
      <c r="E40" s="843"/>
      <c r="F40" s="844"/>
      <c r="G40" s="844"/>
      <c r="H40" s="843"/>
      <c r="I40" s="845"/>
      <c r="J40" s="850"/>
      <c r="K40" s="846"/>
      <c r="L40" s="845"/>
      <c r="M40" s="846"/>
      <c r="N40" s="846"/>
      <c r="O40" s="846"/>
      <c r="P40" s="845"/>
      <c r="Q40" s="846"/>
      <c r="R40" s="846"/>
      <c r="S40" s="656"/>
      <c r="T40" s="846"/>
      <c r="U40" s="846"/>
      <c r="V40" s="846"/>
      <c r="W40" s="847"/>
      <c r="X40" s="848">
        <f t="shared" si="2"/>
        <v>0</v>
      </c>
      <c r="Y40" s="849"/>
      <c r="Z40" s="849"/>
      <c r="AA40" s="849"/>
      <c r="AB40" s="656"/>
      <c r="AC40" s="846"/>
      <c r="AD40" s="846"/>
      <c r="AE40" s="847"/>
      <c r="AF40" s="848">
        <f t="shared" si="3"/>
        <v>0</v>
      </c>
      <c r="AG40" s="847"/>
      <c r="AH40" s="848">
        <f t="shared" si="4"/>
        <v>0</v>
      </c>
      <c r="AI40" s="656"/>
      <c r="AJ40" s="656"/>
      <c r="AK40" s="846"/>
      <c r="AL40" s="846"/>
      <c r="AM40" s="846"/>
      <c r="AN40" s="846"/>
      <c r="AO40" s="846"/>
      <c r="AP40" s="846"/>
    </row>
    <row r="41" spans="2:42">
      <c r="B41" s="842">
        <f t="shared" si="1"/>
        <v>33</v>
      </c>
      <c r="C41" s="843"/>
      <c r="D41" s="844"/>
      <c r="E41" s="843"/>
      <c r="F41" s="844"/>
      <c r="G41" s="844"/>
      <c r="H41" s="843"/>
      <c r="I41" s="845"/>
      <c r="J41" s="850"/>
      <c r="K41" s="846"/>
      <c r="L41" s="845"/>
      <c r="M41" s="846"/>
      <c r="N41" s="846"/>
      <c r="O41" s="846"/>
      <c r="P41" s="845"/>
      <c r="Q41" s="846"/>
      <c r="R41" s="846"/>
      <c r="S41" s="656"/>
      <c r="T41" s="846"/>
      <c r="U41" s="846"/>
      <c r="V41" s="846"/>
      <c r="W41" s="847"/>
      <c r="X41" s="848">
        <f t="shared" si="2"/>
        <v>0</v>
      </c>
      <c r="Y41" s="849"/>
      <c r="Z41" s="849"/>
      <c r="AA41" s="849"/>
      <c r="AB41" s="656"/>
      <c r="AC41" s="846"/>
      <c r="AD41" s="846"/>
      <c r="AE41" s="847"/>
      <c r="AF41" s="848">
        <f t="shared" si="3"/>
        <v>0</v>
      </c>
      <c r="AG41" s="847"/>
      <c r="AH41" s="848">
        <f t="shared" si="4"/>
        <v>0</v>
      </c>
      <c r="AI41" s="656"/>
      <c r="AJ41" s="656"/>
      <c r="AK41" s="846"/>
      <c r="AL41" s="846"/>
      <c r="AM41" s="846"/>
      <c r="AN41" s="846"/>
      <c r="AO41" s="846"/>
      <c r="AP41" s="846"/>
    </row>
    <row r="42" spans="2:42">
      <c r="B42" s="842">
        <f t="shared" si="1"/>
        <v>34</v>
      </c>
      <c r="C42" s="843"/>
      <c r="D42" s="844"/>
      <c r="E42" s="843"/>
      <c r="F42" s="844"/>
      <c r="G42" s="844"/>
      <c r="H42" s="843"/>
      <c r="I42" s="845"/>
      <c r="J42" s="850"/>
      <c r="K42" s="846"/>
      <c r="L42" s="845"/>
      <c r="M42" s="846"/>
      <c r="N42" s="846"/>
      <c r="O42" s="846"/>
      <c r="P42" s="845"/>
      <c r="Q42" s="846"/>
      <c r="R42" s="846"/>
      <c r="S42" s="656"/>
      <c r="T42" s="846"/>
      <c r="U42" s="846"/>
      <c r="V42" s="846"/>
      <c r="W42" s="847"/>
      <c r="X42" s="848">
        <f t="shared" si="2"/>
        <v>0</v>
      </c>
      <c r="Y42" s="849"/>
      <c r="Z42" s="849"/>
      <c r="AA42" s="849"/>
      <c r="AB42" s="656"/>
      <c r="AC42" s="846"/>
      <c r="AD42" s="846"/>
      <c r="AE42" s="847"/>
      <c r="AF42" s="848">
        <f t="shared" si="3"/>
        <v>0</v>
      </c>
      <c r="AG42" s="847"/>
      <c r="AH42" s="848">
        <f t="shared" si="4"/>
        <v>0</v>
      </c>
      <c r="AI42" s="656"/>
      <c r="AJ42" s="656"/>
      <c r="AK42" s="846"/>
      <c r="AL42" s="846"/>
      <c r="AM42" s="846"/>
      <c r="AN42" s="846"/>
      <c r="AO42" s="846"/>
      <c r="AP42" s="846"/>
    </row>
    <row r="43" spans="2:42">
      <c r="B43" s="842">
        <f t="shared" si="1"/>
        <v>35</v>
      </c>
      <c r="C43" s="843"/>
      <c r="D43" s="844"/>
      <c r="E43" s="843"/>
      <c r="F43" s="844"/>
      <c r="G43" s="844"/>
      <c r="H43" s="843"/>
      <c r="I43" s="845"/>
      <c r="J43" s="850"/>
      <c r="K43" s="846"/>
      <c r="L43" s="845"/>
      <c r="M43" s="846"/>
      <c r="N43" s="846"/>
      <c r="O43" s="846"/>
      <c r="P43" s="845"/>
      <c r="Q43" s="846"/>
      <c r="R43" s="846"/>
      <c r="S43" s="656"/>
      <c r="T43" s="846"/>
      <c r="U43" s="846"/>
      <c r="V43" s="846"/>
      <c r="W43" s="847"/>
      <c r="X43" s="848">
        <f t="shared" si="2"/>
        <v>0</v>
      </c>
      <c r="Y43" s="849"/>
      <c r="Z43" s="849"/>
      <c r="AA43" s="849"/>
      <c r="AB43" s="656"/>
      <c r="AC43" s="846"/>
      <c r="AD43" s="846"/>
      <c r="AE43" s="847"/>
      <c r="AF43" s="848">
        <f t="shared" si="3"/>
        <v>0</v>
      </c>
      <c r="AG43" s="847"/>
      <c r="AH43" s="848">
        <f t="shared" si="4"/>
        <v>0</v>
      </c>
      <c r="AI43" s="656"/>
      <c r="AJ43" s="656"/>
      <c r="AK43" s="846"/>
      <c r="AL43" s="846"/>
      <c r="AM43" s="846"/>
      <c r="AN43" s="846"/>
      <c r="AO43" s="846"/>
      <c r="AP43" s="846"/>
    </row>
    <row r="44" spans="2:42">
      <c r="B44" s="842">
        <f t="shared" si="1"/>
        <v>36</v>
      </c>
      <c r="C44" s="843"/>
      <c r="D44" s="844"/>
      <c r="E44" s="843"/>
      <c r="F44" s="844"/>
      <c r="G44" s="844"/>
      <c r="H44" s="843"/>
      <c r="I44" s="845"/>
      <c r="J44" s="850"/>
      <c r="K44" s="846"/>
      <c r="L44" s="845"/>
      <c r="M44" s="846"/>
      <c r="N44" s="846"/>
      <c r="O44" s="846"/>
      <c r="P44" s="845"/>
      <c r="Q44" s="846"/>
      <c r="R44" s="846"/>
      <c r="S44" s="656"/>
      <c r="T44" s="846"/>
      <c r="U44" s="846"/>
      <c r="V44" s="846"/>
      <c r="W44" s="847"/>
      <c r="X44" s="848">
        <f t="shared" si="2"/>
        <v>0</v>
      </c>
      <c r="Y44" s="849"/>
      <c r="Z44" s="849"/>
      <c r="AA44" s="849"/>
      <c r="AB44" s="656"/>
      <c r="AC44" s="846"/>
      <c r="AD44" s="846"/>
      <c r="AE44" s="847"/>
      <c r="AF44" s="848">
        <f t="shared" si="3"/>
        <v>0</v>
      </c>
      <c r="AG44" s="847"/>
      <c r="AH44" s="848">
        <f>AF44*AG44</f>
        <v>0</v>
      </c>
      <c r="AI44" s="656"/>
      <c r="AJ44" s="656"/>
      <c r="AK44" s="846"/>
      <c r="AL44" s="846"/>
      <c r="AM44" s="846"/>
      <c r="AN44" s="846"/>
      <c r="AO44" s="846"/>
      <c r="AP44" s="846"/>
    </row>
    <row r="45" spans="2:42">
      <c r="B45" s="842">
        <f t="shared" si="1"/>
        <v>37</v>
      </c>
      <c r="C45" s="843"/>
      <c r="D45" s="844"/>
      <c r="E45" s="843"/>
      <c r="F45" s="844"/>
      <c r="G45" s="844"/>
      <c r="H45" s="843"/>
      <c r="I45" s="845"/>
      <c r="J45" s="850"/>
      <c r="K45" s="846"/>
      <c r="L45" s="845"/>
      <c r="M45" s="846"/>
      <c r="N45" s="846"/>
      <c r="O45" s="846"/>
      <c r="P45" s="845"/>
      <c r="Q45" s="846"/>
      <c r="R45" s="846"/>
      <c r="S45" s="656"/>
      <c r="T45" s="846"/>
      <c r="U45" s="846"/>
      <c r="V45" s="846"/>
      <c r="W45" s="847"/>
      <c r="X45" s="848">
        <f t="shared" si="2"/>
        <v>0</v>
      </c>
      <c r="Y45" s="849"/>
      <c r="Z45" s="849"/>
      <c r="AA45" s="849"/>
      <c r="AB45" s="656"/>
      <c r="AC45" s="846"/>
      <c r="AD45" s="846"/>
      <c r="AE45" s="847"/>
      <c r="AF45" s="848">
        <f t="shared" si="3"/>
        <v>0</v>
      </c>
      <c r="AG45" s="847"/>
      <c r="AH45" s="848">
        <f t="shared" si="4"/>
        <v>0</v>
      </c>
      <c r="AI45" s="656"/>
      <c r="AJ45" s="656"/>
      <c r="AK45" s="846"/>
      <c r="AL45" s="846"/>
      <c r="AM45" s="846"/>
      <c r="AN45" s="846"/>
      <c r="AO45" s="846"/>
      <c r="AP45" s="846"/>
    </row>
    <row r="46" spans="2:42">
      <c r="B46" s="842">
        <f t="shared" si="1"/>
        <v>38</v>
      </c>
      <c r="C46" s="843"/>
      <c r="D46" s="844"/>
      <c r="E46" s="843"/>
      <c r="F46" s="844"/>
      <c r="G46" s="844"/>
      <c r="H46" s="843"/>
      <c r="I46" s="845"/>
      <c r="J46" s="850"/>
      <c r="K46" s="846"/>
      <c r="L46" s="845"/>
      <c r="M46" s="846"/>
      <c r="N46" s="846"/>
      <c r="O46" s="846"/>
      <c r="P46" s="845"/>
      <c r="Q46" s="846"/>
      <c r="R46" s="846"/>
      <c r="S46" s="656"/>
      <c r="T46" s="846"/>
      <c r="U46" s="846"/>
      <c r="V46" s="846"/>
      <c r="W46" s="847"/>
      <c r="X46" s="848">
        <f t="shared" si="2"/>
        <v>0</v>
      </c>
      <c r="Y46" s="849"/>
      <c r="Z46" s="849"/>
      <c r="AA46" s="849"/>
      <c r="AB46" s="656"/>
      <c r="AC46" s="846"/>
      <c r="AD46" s="846"/>
      <c r="AE46" s="847"/>
      <c r="AF46" s="848">
        <f t="shared" si="3"/>
        <v>0</v>
      </c>
      <c r="AG46" s="847"/>
      <c r="AH46" s="848">
        <f t="shared" si="4"/>
        <v>0</v>
      </c>
      <c r="AI46" s="656"/>
      <c r="AJ46" s="656"/>
      <c r="AK46" s="846"/>
      <c r="AL46" s="846"/>
      <c r="AM46" s="846"/>
      <c r="AN46" s="846"/>
      <c r="AO46" s="846"/>
      <c r="AP46" s="846"/>
    </row>
    <row r="47" spans="2:42">
      <c r="B47" s="842">
        <f t="shared" si="1"/>
        <v>39</v>
      </c>
      <c r="C47" s="843"/>
      <c r="D47" s="844"/>
      <c r="E47" s="843"/>
      <c r="F47" s="844"/>
      <c r="G47" s="844"/>
      <c r="H47" s="843"/>
      <c r="I47" s="845"/>
      <c r="J47" s="850"/>
      <c r="K47" s="846"/>
      <c r="L47" s="845"/>
      <c r="M47" s="846"/>
      <c r="N47" s="846"/>
      <c r="O47" s="846"/>
      <c r="P47" s="845"/>
      <c r="Q47" s="846"/>
      <c r="R47" s="846"/>
      <c r="S47" s="656"/>
      <c r="T47" s="846"/>
      <c r="U47" s="846"/>
      <c r="V47" s="846"/>
      <c r="W47" s="847"/>
      <c r="X47" s="848">
        <f t="shared" si="2"/>
        <v>0</v>
      </c>
      <c r="Y47" s="849"/>
      <c r="Z47" s="849"/>
      <c r="AA47" s="849"/>
      <c r="AB47" s="656"/>
      <c r="AC47" s="846"/>
      <c r="AD47" s="846"/>
      <c r="AE47" s="847"/>
      <c r="AF47" s="848">
        <f t="shared" si="3"/>
        <v>0</v>
      </c>
      <c r="AG47" s="847"/>
      <c r="AH47" s="848">
        <f t="shared" si="4"/>
        <v>0</v>
      </c>
      <c r="AI47" s="656"/>
      <c r="AJ47" s="656"/>
      <c r="AK47" s="846"/>
      <c r="AL47" s="846"/>
      <c r="AM47" s="846"/>
      <c r="AN47" s="846"/>
      <c r="AO47" s="846"/>
      <c r="AP47" s="846"/>
    </row>
    <row r="48" spans="2:42">
      <c r="B48" s="842">
        <f t="shared" si="1"/>
        <v>40</v>
      </c>
      <c r="C48" s="843"/>
      <c r="D48" s="844"/>
      <c r="E48" s="843"/>
      <c r="F48" s="844"/>
      <c r="G48" s="844"/>
      <c r="H48" s="843"/>
      <c r="I48" s="845"/>
      <c r="J48" s="850"/>
      <c r="K48" s="846"/>
      <c r="L48" s="845"/>
      <c r="M48" s="846"/>
      <c r="N48" s="846"/>
      <c r="O48" s="846"/>
      <c r="P48" s="845"/>
      <c r="Q48" s="846"/>
      <c r="R48" s="846"/>
      <c r="S48" s="656"/>
      <c r="T48" s="846"/>
      <c r="U48" s="846"/>
      <c r="V48" s="846"/>
      <c r="W48" s="847"/>
      <c r="X48" s="848">
        <f t="shared" si="2"/>
        <v>0</v>
      </c>
      <c r="Y48" s="849"/>
      <c r="Z48" s="849"/>
      <c r="AA48" s="849"/>
      <c r="AB48" s="656"/>
      <c r="AC48" s="846"/>
      <c r="AD48" s="846"/>
      <c r="AE48" s="847"/>
      <c r="AF48" s="848">
        <f t="shared" si="3"/>
        <v>0</v>
      </c>
      <c r="AG48" s="847"/>
      <c r="AH48" s="848">
        <f t="shared" si="4"/>
        <v>0</v>
      </c>
      <c r="AI48" s="656"/>
      <c r="AJ48" s="656"/>
      <c r="AK48" s="846"/>
      <c r="AL48" s="846"/>
      <c r="AM48" s="846"/>
      <c r="AN48" s="846"/>
      <c r="AO48" s="846"/>
      <c r="AP48" s="846"/>
    </row>
    <row r="49" spans="2:42">
      <c r="B49" s="842">
        <f t="shared" si="1"/>
        <v>41</v>
      </c>
      <c r="C49" s="843"/>
      <c r="D49" s="844"/>
      <c r="E49" s="843"/>
      <c r="F49" s="844"/>
      <c r="G49" s="844"/>
      <c r="H49" s="843"/>
      <c r="I49" s="845"/>
      <c r="J49" s="850"/>
      <c r="K49" s="846"/>
      <c r="L49" s="845"/>
      <c r="M49" s="846"/>
      <c r="N49" s="846"/>
      <c r="O49" s="846"/>
      <c r="P49" s="845"/>
      <c r="Q49" s="846"/>
      <c r="R49" s="846"/>
      <c r="S49" s="656"/>
      <c r="T49" s="846"/>
      <c r="U49" s="846"/>
      <c r="V49" s="846"/>
      <c r="W49" s="847"/>
      <c r="X49" s="848">
        <f t="shared" si="2"/>
        <v>0</v>
      </c>
      <c r="Y49" s="849"/>
      <c r="Z49" s="849"/>
      <c r="AA49" s="849"/>
      <c r="AB49" s="656"/>
      <c r="AC49" s="846"/>
      <c r="AD49" s="846"/>
      <c r="AE49" s="847"/>
      <c r="AF49" s="848">
        <f t="shared" si="3"/>
        <v>0</v>
      </c>
      <c r="AG49" s="847"/>
      <c r="AH49" s="848">
        <f t="shared" si="4"/>
        <v>0</v>
      </c>
      <c r="AI49" s="656"/>
      <c r="AJ49" s="656"/>
      <c r="AK49" s="846"/>
      <c r="AL49" s="846"/>
      <c r="AM49" s="846"/>
      <c r="AN49" s="846"/>
      <c r="AO49" s="846"/>
      <c r="AP49" s="846"/>
    </row>
    <row r="50" spans="2:42">
      <c r="B50" s="842">
        <f t="shared" si="1"/>
        <v>42</v>
      </c>
      <c r="C50" s="843"/>
      <c r="D50" s="844"/>
      <c r="E50" s="843"/>
      <c r="F50" s="844"/>
      <c r="G50" s="844"/>
      <c r="H50" s="843"/>
      <c r="I50" s="845"/>
      <c r="J50" s="850"/>
      <c r="K50" s="846"/>
      <c r="L50" s="845"/>
      <c r="M50" s="846"/>
      <c r="N50" s="846"/>
      <c r="O50" s="846"/>
      <c r="P50" s="845"/>
      <c r="Q50" s="846"/>
      <c r="R50" s="846"/>
      <c r="S50" s="656"/>
      <c r="T50" s="846"/>
      <c r="U50" s="846"/>
      <c r="V50" s="846"/>
      <c r="W50" s="847"/>
      <c r="X50" s="848">
        <f t="shared" si="2"/>
        <v>0</v>
      </c>
      <c r="Y50" s="849"/>
      <c r="Z50" s="849"/>
      <c r="AA50" s="849"/>
      <c r="AB50" s="656"/>
      <c r="AC50" s="846"/>
      <c r="AD50" s="846"/>
      <c r="AE50" s="847"/>
      <c r="AF50" s="848">
        <f t="shared" si="3"/>
        <v>0</v>
      </c>
      <c r="AG50" s="847"/>
      <c r="AH50" s="848">
        <f t="shared" si="4"/>
        <v>0</v>
      </c>
      <c r="AI50" s="656"/>
      <c r="AJ50" s="656"/>
      <c r="AK50" s="846"/>
      <c r="AL50" s="846"/>
      <c r="AM50" s="846"/>
      <c r="AN50" s="846"/>
      <c r="AO50" s="846"/>
      <c r="AP50" s="846"/>
    </row>
    <row r="51" spans="2:42">
      <c r="B51" s="842">
        <f t="shared" si="1"/>
        <v>43</v>
      </c>
      <c r="C51" s="843"/>
      <c r="D51" s="844"/>
      <c r="E51" s="843"/>
      <c r="F51" s="844"/>
      <c r="G51" s="844"/>
      <c r="H51" s="843"/>
      <c r="I51" s="845"/>
      <c r="J51" s="850"/>
      <c r="K51" s="846"/>
      <c r="L51" s="845"/>
      <c r="M51" s="846"/>
      <c r="N51" s="846"/>
      <c r="O51" s="846"/>
      <c r="P51" s="845"/>
      <c r="Q51" s="846"/>
      <c r="R51" s="846"/>
      <c r="S51" s="656"/>
      <c r="T51" s="846"/>
      <c r="U51" s="846"/>
      <c r="V51" s="846"/>
      <c r="W51" s="847"/>
      <c r="X51" s="848">
        <f t="shared" si="2"/>
        <v>0</v>
      </c>
      <c r="Y51" s="849"/>
      <c r="Z51" s="849"/>
      <c r="AA51" s="849"/>
      <c r="AB51" s="656"/>
      <c r="AC51" s="846"/>
      <c r="AD51" s="846"/>
      <c r="AE51" s="847"/>
      <c r="AF51" s="848">
        <f t="shared" si="3"/>
        <v>0</v>
      </c>
      <c r="AG51" s="847"/>
      <c r="AH51" s="848">
        <f t="shared" si="4"/>
        <v>0</v>
      </c>
      <c r="AI51" s="656"/>
      <c r="AJ51" s="656"/>
      <c r="AK51" s="846"/>
      <c r="AL51" s="846"/>
      <c r="AM51" s="846"/>
      <c r="AN51" s="846"/>
      <c r="AO51" s="846"/>
      <c r="AP51" s="846"/>
    </row>
    <row r="52" spans="2:42">
      <c r="B52" s="842">
        <f t="shared" si="1"/>
        <v>44</v>
      </c>
      <c r="C52" s="843"/>
      <c r="D52" s="844"/>
      <c r="E52" s="843"/>
      <c r="F52" s="844"/>
      <c r="G52" s="844"/>
      <c r="H52" s="843"/>
      <c r="I52" s="845"/>
      <c r="J52" s="850"/>
      <c r="K52" s="846"/>
      <c r="L52" s="845"/>
      <c r="M52" s="846"/>
      <c r="N52" s="846"/>
      <c r="O52" s="846"/>
      <c r="P52" s="845"/>
      <c r="Q52" s="846"/>
      <c r="R52" s="846"/>
      <c r="S52" s="656"/>
      <c r="T52" s="846"/>
      <c r="U52" s="846"/>
      <c r="V52" s="846"/>
      <c r="W52" s="847"/>
      <c r="X52" s="848">
        <f t="shared" si="2"/>
        <v>0</v>
      </c>
      <c r="Y52" s="849"/>
      <c r="Z52" s="849"/>
      <c r="AA52" s="849"/>
      <c r="AB52" s="656"/>
      <c r="AC52" s="846"/>
      <c r="AD52" s="846"/>
      <c r="AE52" s="847"/>
      <c r="AF52" s="848">
        <f t="shared" si="3"/>
        <v>0</v>
      </c>
      <c r="AG52" s="847"/>
      <c r="AH52" s="848">
        <f t="shared" si="4"/>
        <v>0</v>
      </c>
      <c r="AI52" s="656"/>
      <c r="AJ52" s="656"/>
      <c r="AK52" s="846"/>
      <c r="AL52" s="846"/>
      <c r="AM52" s="846"/>
      <c r="AN52" s="846"/>
      <c r="AO52" s="846"/>
      <c r="AP52" s="846"/>
    </row>
    <row r="53" spans="2:42">
      <c r="B53" s="842">
        <f t="shared" si="1"/>
        <v>45</v>
      </c>
      <c r="C53" s="843"/>
      <c r="D53" s="844"/>
      <c r="E53" s="843"/>
      <c r="F53" s="844"/>
      <c r="G53" s="844"/>
      <c r="H53" s="843"/>
      <c r="I53" s="845"/>
      <c r="J53" s="850"/>
      <c r="K53" s="846"/>
      <c r="L53" s="845"/>
      <c r="M53" s="846"/>
      <c r="N53" s="846"/>
      <c r="O53" s="846"/>
      <c r="P53" s="845"/>
      <c r="Q53" s="846"/>
      <c r="R53" s="846"/>
      <c r="S53" s="656"/>
      <c r="T53" s="846"/>
      <c r="U53" s="846"/>
      <c r="V53" s="846"/>
      <c r="W53" s="847"/>
      <c r="X53" s="848">
        <f t="shared" si="2"/>
        <v>0</v>
      </c>
      <c r="Y53" s="849"/>
      <c r="Z53" s="849"/>
      <c r="AA53" s="849"/>
      <c r="AB53" s="656"/>
      <c r="AC53" s="846"/>
      <c r="AD53" s="846"/>
      <c r="AE53" s="847"/>
      <c r="AF53" s="848">
        <f t="shared" si="3"/>
        <v>0</v>
      </c>
      <c r="AG53" s="847"/>
      <c r="AH53" s="848">
        <f t="shared" si="4"/>
        <v>0</v>
      </c>
      <c r="AI53" s="656"/>
      <c r="AJ53" s="656"/>
      <c r="AK53" s="846"/>
      <c r="AL53" s="846"/>
      <c r="AM53" s="846"/>
      <c r="AN53" s="846"/>
      <c r="AO53" s="846"/>
      <c r="AP53" s="846"/>
    </row>
    <row r="54" spans="2:42">
      <c r="B54" s="842">
        <f t="shared" si="1"/>
        <v>46</v>
      </c>
      <c r="C54" s="843"/>
      <c r="D54" s="844"/>
      <c r="E54" s="843"/>
      <c r="F54" s="844"/>
      <c r="G54" s="844"/>
      <c r="H54" s="843"/>
      <c r="I54" s="845"/>
      <c r="J54" s="850"/>
      <c r="K54" s="846"/>
      <c r="L54" s="845"/>
      <c r="M54" s="846"/>
      <c r="N54" s="846"/>
      <c r="O54" s="846"/>
      <c r="P54" s="845"/>
      <c r="Q54" s="846"/>
      <c r="R54" s="846"/>
      <c r="S54" s="656"/>
      <c r="T54" s="846"/>
      <c r="U54" s="846"/>
      <c r="V54" s="846"/>
      <c r="W54" s="847"/>
      <c r="X54" s="848">
        <f t="shared" si="2"/>
        <v>0</v>
      </c>
      <c r="Y54" s="849"/>
      <c r="Z54" s="849"/>
      <c r="AA54" s="849"/>
      <c r="AB54" s="656"/>
      <c r="AC54" s="846"/>
      <c r="AD54" s="846"/>
      <c r="AE54" s="847"/>
      <c r="AF54" s="848">
        <f t="shared" si="3"/>
        <v>0</v>
      </c>
      <c r="AG54" s="847"/>
      <c r="AH54" s="848">
        <f t="shared" si="4"/>
        <v>0</v>
      </c>
      <c r="AI54" s="656"/>
      <c r="AJ54" s="656"/>
      <c r="AK54" s="846"/>
      <c r="AL54" s="846"/>
      <c r="AM54" s="846"/>
      <c r="AN54" s="846"/>
      <c r="AO54" s="846"/>
      <c r="AP54" s="846"/>
    </row>
    <row r="55" spans="2:42">
      <c r="B55" s="842">
        <f t="shared" si="1"/>
        <v>47</v>
      </c>
      <c r="C55" s="843"/>
      <c r="D55" s="844"/>
      <c r="E55" s="843"/>
      <c r="F55" s="844"/>
      <c r="G55" s="844"/>
      <c r="H55" s="843"/>
      <c r="I55" s="845"/>
      <c r="J55" s="850"/>
      <c r="K55" s="846"/>
      <c r="L55" s="845"/>
      <c r="M55" s="846"/>
      <c r="N55" s="846"/>
      <c r="O55" s="846"/>
      <c r="P55" s="845"/>
      <c r="Q55" s="846"/>
      <c r="R55" s="846"/>
      <c r="S55" s="656"/>
      <c r="T55" s="846"/>
      <c r="U55" s="846"/>
      <c r="V55" s="846"/>
      <c r="W55" s="847"/>
      <c r="X55" s="848">
        <f t="shared" si="2"/>
        <v>0</v>
      </c>
      <c r="Y55" s="849"/>
      <c r="Z55" s="849"/>
      <c r="AA55" s="849"/>
      <c r="AB55" s="656"/>
      <c r="AC55" s="846"/>
      <c r="AD55" s="846"/>
      <c r="AE55" s="847"/>
      <c r="AF55" s="848">
        <f t="shared" si="3"/>
        <v>0</v>
      </c>
      <c r="AG55" s="847"/>
      <c r="AH55" s="848">
        <f t="shared" si="4"/>
        <v>0</v>
      </c>
      <c r="AI55" s="656"/>
      <c r="AJ55" s="656"/>
      <c r="AK55" s="846"/>
      <c r="AL55" s="846"/>
      <c r="AM55" s="846"/>
      <c r="AN55" s="846"/>
      <c r="AO55" s="846"/>
      <c r="AP55" s="846"/>
    </row>
    <row r="56" spans="2:42">
      <c r="B56" s="842">
        <f t="shared" si="1"/>
        <v>48</v>
      </c>
      <c r="C56" s="843"/>
      <c r="D56" s="844"/>
      <c r="E56" s="843"/>
      <c r="F56" s="844"/>
      <c r="G56" s="844"/>
      <c r="H56" s="843"/>
      <c r="I56" s="845"/>
      <c r="J56" s="850"/>
      <c r="K56" s="846"/>
      <c r="L56" s="845"/>
      <c r="M56" s="846"/>
      <c r="N56" s="846"/>
      <c r="O56" s="846"/>
      <c r="P56" s="845"/>
      <c r="Q56" s="846"/>
      <c r="R56" s="846"/>
      <c r="S56" s="656"/>
      <c r="T56" s="846"/>
      <c r="U56" s="846"/>
      <c r="V56" s="846"/>
      <c r="W56" s="847"/>
      <c r="X56" s="848">
        <f t="shared" si="2"/>
        <v>0</v>
      </c>
      <c r="Y56" s="849"/>
      <c r="Z56" s="849"/>
      <c r="AA56" s="849"/>
      <c r="AB56" s="656"/>
      <c r="AC56" s="846"/>
      <c r="AD56" s="846"/>
      <c r="AE56" s="847"/>
      <c r="AF56" s="848">
        <f t="shared" si="3"/>
        <v>0</v>
      </c>
      <c r="AG56" s="847"/>
      <c r="AH56" s="848">
        <f t="shared" si="4"/>
        <v>0</v>
      </c>
      <c r="AI56" s="656"/>
      <c r="AJ56" s="656"/>
      <c r="AK56" s="846"/>
      <c r="AL56" s="846"/>
      <c r="AM56" s="846"/>
      <c r="AN56" s="846"/>
      <c r="AO56" s="846"/>
      <c r="AP56" s="846"/>
    </row>
    <row r="57" spans="2:42">
      <c r="B57" s="842">
        <f t="shared" si="1"/>
        <v>49</v>
      </c>
      <c r="C57" s="843"/>
      <c r="D57" s="844"/>
      <c r="E57" s="843"/>
      <c r="F57" s="844"/>
      <c r="G57" s="844"/>
      <c r="H57" s="843"/>
      <c r="I57" s="845"/>
      <c r="J57" s="850"/>
      <c r="K57" s="846"/>
      <c r="L57" s="845"/>
      <c r="M57" s="846"/>
      <c r="N57" s="846"/>
      <c r="O57" s="846"/>
      <c r="P57" s="845"/>
      <c r="Q57" s="846"/>
      <c r="R57" s="846"/>
      <c r="S57" s="656"/>
      <c r="T57" s="846"/>
      <c r="U57" s="846"/>
      <c r="V57" s="846"/>
      <c r="W57" s="847"/>
      <c r="X57" s="848">
        <f t="shared" si="2"/>
        <v>0</v>
      </c>
      <c r="Y57" s="849"/>
      <c r="Z57" s="849"/>
      <c r="AA57" s="849"/>
      <c r="AB57" s="656"/>
      <c r="AC57" s="846"/>
      <c r="AD57" s="846"/>
      <c r="AE57" s="847"/>
      <c r="AF57" s="848">
        <f t="shared" si="3"/>
        <v>0</v>
      </c>
      <c r="AG57" s="847"/>
      <c r="AH57" s="848">
        <f t="shared" si="4"/>
        <v>0</v>
      </c>
      <c r="AI57" s="656"/>
      <c r="AJ57" s="656"/>
      <c r="AK57" s="846"/>
      <c r="AL57" s="846"/>
      <c r="AM57" s="846"/>
      <c r="AN57" s="846"/>
      <c r="AO57" s="846"/>
      <c r="AP57" s="846"/>
    </row>
    <row r="58" spans="2:42">
      <c r="B58" s="842">
        <f t="shared" si="1"/>
        <v>50</v>
      </c>
      <c r="C58" s="843"/>
      <c r="D58" s="844"/>
      <c r="E58" s="843"/>
      <c r="F58" s="844"/>
      <c r="G58" s="844"/>
      <c r="H58" s="843"/>
      <c r="I58" s="845"/>
      <c r="J58" s="850"/>
      <c r="K58" s="846"/>
      <c r="L58" s="845"/>
      <c r="M58" s="846"/>
      <c r="N58" s="846"/>
      <c r="O58" s="846"/>
      <c r="P58" s="845"/>
      <c r="Q58" s="846"/>
      <c r="R58" s="846"/>
      <c r="S58" s="656"/>
      <c r="T58" s="846"/>
      <c r="U58" s="846"/>
      <c r="V58" s="846"/>
      <c r="W58" s="847"/>
      <c r="X58" s="848">
        <f t="shared" si="2"/>
        <v>0</v>
      </c>
      <c r="Y58" s="849"/>
      <c r="Z58" s="849"/>
      <c r="AA58" s="849"/>
      <c r="AB58" s="656"/>
      <c r="AC58" s="846"/>
      <c r="AD58" s="846"/>
      <c r="AE58" s="847"/>
      <c r="AF58" s="848">
        <f t="shared" si="3"/>
        <v>0</v>
      </c>
      <c r="AG58" s="847"/>
      <c r="AH58" s="848">
        <f t="shared" si="4"/>
        <v>0</v>
      </c>
      <c r="AI58" s="656"/>
      <c r="AJ58" s="656"/>
      <c r="AK58" s="846"/>
      <c r="AL58" s="846"/>
      <c r="AM58" s="846"/>
      <c r="AN58" s="846"/>
      <c r="AO58" s="846"/>
      <c r="AP58" s="846"/>
    </row>
    <row r="59" spans="2:42">
      <c r="B59" s="736"/>
      <c r="C59" s="473" t="s">
        <v>7</v>
      </c>
      <c r="D59" s="473"/>
      <c r="E59" s="736"/>
      <c r="F59" s="736"/>
      <c r="G59" s="736"/>
      <c r="H59" s="736"/>
      <c r="I59" s="736"/>
      <c r="J59" s="736"/>
      <c r="K59" s="736"/>
      <c r="L59" s="736"/>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736"/>
      <c r="AP59" s="736"/>
    </row>
    <row r="60" spans="2:42" s="855" customFormat="1">
      <c r="B60" s="851"/>
      <c r="C60" s="852" t="s">
        <v>795</v>
      </c>
      <c r="D60" s="852"/>
      <c r="E60" s="656"/>
      <c r="F60" s="656"/>
      <c r="G60" s="656"/>
      <c r="H60" s="656"/>
      <c r="I60" s="656"/>
      <c r="J60" s="656"/>
      <c r="K60" s="853">
        <f>SUMIF($G$9:$G$59,$AI1,K$9:K$59)/1000</f>
        <v>0</v>
      </c>
      <c r="L60" s="656"/>
      <c r="M60" s="853">
        <f t="shared" ref="M60:O63" si="5">SUMIF($G$9:$G$59,$AI1,M$9:M$59)/1000</f>
        <v>0</v>
      </c>
      <c r="N60" s="853">
        <f t="shared" si="5"/>
        <v>0</v>
      </c>
      <c r="O60" s="853">
        <f t="shared" si="5"/>
        <v>0</v>
      </c>
      <c r="P60" s="656"/>
      <c r="Q60" s="853">
        <f t="shared" ref="Q60:R63" si="6">SUMIF($G$9:$G$59,$AI1,Q$9:Q$59)/1000</f>
        <v>0</v>
      </c>
      <c r="R60" s="853">
        <f t="shared" si="6"/>
        <v>0</v>
      </c>
      <c r="S60" s="656"/>
      <c r="T60" s="853">
        <f t="shared" ref="T60:V63" si="7">SUMIF($G$9:$G$59,$AI1,T$9:T$59)/1000</f>
        <v>0</v>
      </c>
      <c r="U60" s="853">
        <f t="shared" si="7"/>
        <v>0</v>
      </c>
      <c r="V60" s="853">
        <f t="shared" si="7"/>
        <v>0</v>
      </c>
      <c r="W60" s="854"/>
      <c r="X60" s="853">
        <f t="shared" ref="X60:Z63" si="8">SUMIF($G$9:$G$59,$AI1,X$9:X$59)/1000</f>
        <v>0</v>
      </c>
      <c r="Y60" s="853">
        <f t="shared" si="8"/>
        <v>0</v>
      </c>
      <c r="Z60" s="853">
        <f t="shared" si="8"/>
        <v>0</v>
      </c>
      <c r="AA60" s="656"/>
      <c r="AB60" s="656"/>
      <c r="AC60" s="853">
        <f t="shared" ref="AC60:AD63" si="9">SUMIF($G$9:$G$59,$AI1,AC$9:AC$59)/1000</f>
        <v>0</v>
      </c>
      <c r="AD60" s="853">
        <f t="shared" si="9"/>
        <v>0</v>
      </c>
      <c r="AE60" s="656"/>
      <c r="AF60" s="853">
        <f>SUMIF($G$9:$G$59,$AI1,AF$9:AF$59)/1000</f>
        <v>0</v>
      </c>
      <c r="AG60" s="656"/>
      <c r="AH60" s="853">
        <f>SUMIF($G$9:$G$59,$AI1,AH$9:AH$59)/1000</f>
        <v>0</v>
      </c>
      <c r="AI60" s="656"/>
      <c r="AJ60" s="656"/>
      <c r="AK60" s="656"/>
      <c r="AL60" s="853">
        <f t="shared" ref="AL60:AO63" si="10">SUMIF($G$9:$G$59,$AI1,AL$9:AL$59)/1000</f>
        <v>0</v>
      </c>
      <c r="AM60" s="853">
        <f t="shared" si="10"/>
        <v>0</v>
      </c>
      <c r="AN60" s="853">
        <f t="shared" si="10"/>
        <v>0</v>
      </c>
      <c r="AO60" s="853">
        <f t="shared" si="10"/>
        <v>0</v>
      </c>
      <c r="AP60" s="656"/>
    </row>
    <row r="61" spans="2:42" s="855" customFormat="1">
      <c r="B61" s="851"/>
      <c r="C61" s="852" t="s">
        <v>796</v>
      </c>
      <c r="D61" s="852"/>
      <c r="E61" s="656"/>
      <c r="F61" s="656"/>
      <c r="G61" s="656"/>
      <c r="H61" s="656"/>
      <c r="I61" s="656"/>
      <c r="J61" s="656"/>
      <c r="K61" s="853">
        <f>SUMIF($G$9:$G$59,$AI2,K$9:K$59)/1000</f>
        <v>0</v>
      </c>
      <c r="L61" s="656"/>
      <c r="M61" s="853">
        <f t="shared" si="5"/>
        <v>0</v>
      </c>
      <c r="N61" s="853">
        <f t="shared" si="5"/>
        <v>0</v>
      </c>
      <c r="O61" s="853">
        <f t="shared" si="5"/>
        <v>0</v>
      </c>
      <c r="P61" s="656"/>
      <c r="Q61" s="853">
        <f t="shared" si="6"/>
        <v>0</v>
      </c>
      <c r="R61" s="853">
        <f t="shared" si="6"/>
        <v>0</v>
      </c>
      <c r="S61" s="656"/>
      <c r="T61" s="853">
        <f t="shared" si="7"/>
        <v>0</v>
      </c>
      <c r="U61" s="853">
        <f t="shared" si="7"/>
        <v>0</v>
      </c>
      <c r="V61" s="853">
        <f t="shared" si="7"/>
        <v>0</v>
      </c>
      <c r="W61" s="854"/>
      <c r="X61" s="853">
        <f t="shared" si="8"/>
        <v>0</v>
      </c>
      <c r="Y61" s="853">
        <f t="shared" si="8"/>
        <v>0</v>
      </c>
      <c r="Z61" s="853">
        <f t="shared" si="8"/>
        <v>0</v>
      </c>
      <c r="AA61" s="656"/>
      <c r="AB61" s="656"/>
      <c r="AC61" s="853">
        <f t="shared" si="9"/>
        <v>0</v>
      </c>
      <c r="AD61" s="853">
        <f t="shared" si="9"/>
        <v>0</v>
      </c>
      <c r="AE61" s="656"/>
      <c r="AF61" s="853">
        <f>SUMIF($G$9:$G$59,$AI2,AF$9:AF$59)/1000</f>
        <v>0</v>
      </c>
      <c r="AG61" s="656"/>
      <c r="AH61" s="853">
        <f>SUMIF($G$9:$G$59,$AI2,AH$9:AH$59)/1000</f>
        <v>0</v>
      </c>
      <c r="AI61" s="656"/>
      <c r="AJ61" s="656"/>
      <c r="AK61" s="656"/>
      <c r="AL61" s="853">
        <f t="shared" si="10"/>
        <v>0</v>
      </c>
      <c r="AM61" s="853">
        <f t="shared" si="10"/>
        <v>0</v>
      </c>
      <c r="AN61" s="853">
        <f t="shared" si="10"/>
        <v>0</v>
      </c>
      <c r="AO61" s="853">
        <f t="shared" si="10"/>
        <v>0</v>
      </c>
      <c r="AP61" s="656"/>
    </row>
    <row r="62" spans="2:42" s="855" customFormat="1">
      <c r="B62" s="851"/>
      <c r="C62" s="852" t="s">
        <v>797</v>
      </c>
      <c r="D62" s="852"/>
      <c r="E62" s="656"/>
      <c r="F62" s="656"/>
      <c r="G62" s="656"/>
      <c r="H62" s="656"/>
      <c r="I62" s="656"/>
      <c r="J62" s="656"/>
      <c r="K62" s="853">
        <f>SUMIF($G$9:$G$59,$AI3,K$9:K$59)/1000</f>
        <v>0</v>
      </c>
      <c r="L62" s="656"/>
      <c r="M62" s="853">
        <f t="shared" si="5"/>
        <v>0</v>
      </c>
      <c r="N62" s="853">
        <f t="shared" si="5"/>
        <v>0</v>
      </c>
      <c r="O62" s="853">
        <f t="shared" si="5"/>
        <v>0</v>
      </c>
      <c r="P62" s="656"/>
      <c r="Q62" s="853">
        <f t="shared" si="6"/>
        <v>0</v>
      </c>
      <c r="R62" s="853">
        <f t="shared" si="6"/>
        <v>0</v>
      </c>
      <c r="S62" s="656"/>
      <c r="T62" s="853">
        <f t="shared" si="7"/>
        <v>0</v>
      </c>
      <c r="U62" s="853">
        <f t="shared" si="7"/>
        <v>0</v>
      </c>
      <c r="V62" s="853">
        <f t="shared" si="7"/>
        <v>0</v>
      </c>
      <c r="W62" s="854"/>
      <c r="X62" s="853">
        <f t="shared" si="8"/>
        <v>0</v>
      </c>
      <c r="Y62" s="853">
        <f t="shared" si="8"/>
        <v>0</v>
      </c>
      <c r="Z62" s="853">
        <f t="shared" si="8"/>
        <v>0</v>
      </c>
      <c r="AA62" s="656"/>
      <c r="AB62" s="656"/>
      <c r="AC62" s="853">
        <f t="shared" si="9"/>
        <v>0</v>
      </c>
      <c r="AD62" s="853">
        <f t="shared" si="9"/>
        <v>0</v>
      </c>
      <c r="AE62" s="656"/>
      <c r="AF62" s="853">
        <f>SUMIF($G$9:$G$59,$AI3,AF$9:AF$59)/1000</f>
        <v>0</v>
      </c>
      <c r="AG62" s="656"/>
      <c r="AH62" s="853">
        <f>SUMIF($G$9:$G$59,$AI3,AH$9:AH$59)/1000</f>
        <v>0</v>
      </c>
      <c r="AI62" s="656"/>
      <c r="AJ62" s="656"/>
      <c r="AK62" s="656"/>
      <c r="AL62" s="853">
        <f t="shared" si="10"/>
        <v>0</v>
      </c>
      <c r="AM62" s="853">
        <f t="shared" si="10"/>
        <v>0</v>
      </c>
      <c r="AN62" s="853">
        <f t="shared" si="10"/>
        <v>0</v>
      </c>
      <c r="AO62" s="853">
        <f t="shared" si="10"/>
        <v>0</v>
      </c>
      <c r="AP62" s="656"/>
    </row>
    <row r="63" spans="2:42" s="855" customFormat="1">
      <c r="B63" s="851"/>
      <c r="C63" s="852" t="s">
        <v>798</v>
      </c>
      <c r="D63" s="852"/>
      <c r="E63" s="656"/>
      <c r="F63" s="656"/>
      <c r="G63" s="656"/>
      <c r="H63" s="656"/>
      <c r="I63" s="656"/>
      <c r="J63" s="656"/>
      <c r="K63" s="853">
        <f>SUMIF($G$9:$G$59,$AI4,K$9:K$59)/1000</f>
        <v>0</v>
      </c>
      <c r="L63" s="656"/>
      <c r="M63" s="853">
        <f t="shared" si="5"/>
        <v>0</v>
      </c>
      <c r="N63" s="853">
        <f t="shared" si="5"/>
        <v>0</v>
      </c>
      <c r="O63" s="853">
        <f t="shared" si="5"/>
        <v>0</v>
      </c>
      <c r="P63" s="656"/>
      <c r="Q63" s="853">
        <f t="shared" si="6"/>
        <v>0</v>
      </c>
      <c r="R63" s="853">
        <f t="shared" si="6"/>
        <v>0</v>
      </c>
      <c r="S63" s="656"/>
      <c r="T63" s="853">
        <f t="shared" si="7"/>
        <v>0</v>
      </c>
      <c r="U63" s="853">
        <f t="shared" si="7"/>
        <v>0</v>
      </c>
      <c r="V63" s="853">
        <f t="shared" si="7"/>
        <v>0</v>
      </c>
      <c r="W63" s="854"/>
      <c r="X63" s="853">
        <f t="shared" si="8"/>
        <v>0</v>
      </c>
      <c r="Y63" s="853">
        <f t="shared" si="8"/>
        <v>0</v>
      </c>
      <c r="Z63" s="853">
        <f t="shared" si="8"/>
        <v>0</v>
      </c>
      <c r="AA63" s="656"/>
      <c r="AB63" s="656"/>
      <c r="AC63" s="853">
        <f t="shared" si="9"/>
        <v>0</v>
      </c>
      <c r="AD63" s="853">
        <f t="shared" si="9"/>
        <v>0</v>
      </c>
      <c r="AE63" s="656"/>
      <c r="AF63" s="853">
        <f>SUMIF($G$9:$G$59,$AI4,AF$9:AF$59)/1000</f>
        <v>0</v>
      </c>
      <c r="AG63" s="656"/>
      <c r="AH63" s="853">
        <f>SUMIF($G$9:$G$59,$AI4,AH$9:AH$59)/1000</f>
        <v>0</v>
      </c>
      <c r="AI63" s="656"/>
      <c r="AJ63" s="656"/>
      <c r="AK63" s="656"/>
      <c r="AL63" s="853">
        <f t="shared" si="10"/>
        <v>0</v>
      </c>
      <c r="AM63" s="853">
        <f t="shared" si="10"/>
        <v>0</v>
      </c>
      <c r="AN63" s="853">
        <f t="shared" si="10"/>
        <v>0</v>
      </c>
      <c r="AO63" s="853">
        <f t="shared" si="10"/>
        <v>0</v>
      </c>
      <c r="AP63" s="656"/>
    </row>
    <row r="64" spans="2:42" s="855" customFormat="1">
      <c r="B64" s="851"/>
      <c r="C64" s="852" t="s">
        <v>799</v>
      </c>
      <c r="D64" s="852"/>
      <c r="E64" s="656"/>
      <c r="F64" s="656"/>
      <c r="G64" s="656"/>
      <c r="H64" s="656"/>
      <c r="I64" s="656"/>
      <c r="J64" s="656"/>
      <c r="K64" s="856">
        <f>SUM(K9:K59)/1000</f>
        <v>0</v>
      </c>
      <c r="L64" s="656"/>
      <c r="M64" s="856">
        <f>SUM(M9:M59)/1000</f>
        <v>0</v>
      </c>
      <c r="N64" s="856">
        <f>SUM(N9:N59)/1000</f>
        <v>0</v>
      </c>
      <c r="O64" s="856">
        <f>SUM(O9:O59)/1000</f>
        <v>0</v>
      </c>
      <c r="P64" s="656"/>
      <c r="Q64" s="856">
        <f>SUM(Q9:Q59)/1000</f>
        <v>0</v>
      </c>
      <c r="R64" s="856">
        <f>SUM(R9:R59)/1000</f>
        <v>0</v>
      </c>
      <c r="S64" s="857"/>
      <c r="T64" s="856">
        <f>SUM(T9:T59)/1000</f>
        <v>0</v>
      </c>
      <c r="U64" s="856">
        <f>SUM(U9:U59)/1000</f>
        <v>0</v>
      </c>
      <c r="V64" s="856">
        <f>SUM(V9:V59)/1000</f>
        <v>0</v>
      </c>
      <c r="W64" s="854"/>
      <c r="X64" s="856">
        <f>SUM(X9:X59)/1000</f>
        <v>0</v>
      </c>
      <c r="Y64" s="856">
        <f>SUM(Y9:Y59)/1000</f>
        <v>0</v>
      </c>
      <c r="Z64" s="856">
        <f>SUM(Z9:Z59)/1000</f>
        <v>0</v>
      </c>
      <c r="AA64" s="656"/>
      <c r="AB64" s="857"/>
      <c r="AC64" s="856">
        <f>SUM(AC9:AC59)/1000</f>
        <v>0</v>
      </c>
      <c r="AD64" s="856">
        <f>SUM(AD9:AD59)/1000</f>
        <v>0</v>
      </c>
      <c r="AE64" s="656"/>
      <c r="AF64" s="856">
        <f>SUM(AF9:AF59)/1000</f>
        <v>0</v>
      </c>
      <c r="AG64" s="656"/>
      <c r="AH64" s="856">
        <f>SUM(AH9:AH59)/1000</f>
        <v>0</v>
      </c>
      <c r="AI64" s="857"/>
      <c r="AJ64" s="857"/>
      <c r="AK64" s="656"/>
      <c r="AL64" s="856">
        <f>SUM(AL9:AL59)/1000</f>
        <v>0</v>
      </c>
      <c r="AM64" s="856">
        <f>SUM(AM9:AM59)/1000</f>
        <v>0</v>
      </c>
      <c r="AN64" s="856">
        <f>SUM(AN9:AN59)/1000</f>
        <v>0</v>
      </c>
      <c r="AO64" s="856">
        <f>SUM(AO9:AO59)/1000</f>
        <v>0</v>
      </c>
      <c r="AP64" s="656"/>
    </row>
    <row r="65" spans="3:12" s="212" customFormat="1"/>
    <row r="66" spans="3:12" s="212" customFormat="1"/>
    <row r="67" spans="3:12" s="212" customFormat="1" ht="13.15" customHeight="1"/>
    <row r="68" spans="3:12" s="212" customFormat="1" ht="13.15" customHeight="1"/>
    <row r="69" spans="3:12" s="212" customFormat="1" ht="13.15" customHeight="1"/>
    <row r="72" spans="3:12" ht="15.75">
      <c r="C72" s="858"/>
      <c r="D72" s="858"/>
      <c r="E72" s="858"/>
      <c r="F72" s="858"/>
      <c r="G72" s="858"/>
      <c r="H72" s="858"/>
      <c r="I72" s="859"/>
      <c r="J72" s="860"/>
      <c r="L72" s="861"/>
    </row>
    <row r="73" spans="3:12" ht="15.75">
      <c r="C73" s="862"/>
      <c r="D73" s="862"/>
      <c r="E73" s="862"/>
      <c r="F73" s="862"/>
      <c r="G73" s="862"/>
      <c r="H73" s="862"/>
      <c r="I73" s="859"/>
      <c r="J73" s="860"/>
      <c r="K73" s="862"/>
    </row>
    <row r="74" spans="3:12" ht="37.5" customHeight="1">
      <c r="C74" s="863"/>
      <c r="D74" s="863"/>
      <c r="E74" s="863"/>
      <c r="F74" s="863"/>
      <c r="G74" s="863"/>
      <c r="H74" s="863"/>
      <c r="I74" s="863"/>
      <c r="J74" s="863"/>
      <c r="K74" s="863"/>
      <c r="L74" s="864"/>
    </row>
  </sheetData>
  <sheetProtection formatColumns="0" formatRows="0" insertHyperlinks="0"/>
  <mergeCells count="23">
    <mergeCell ref="AK5:AP5"/>
    <mergeCell ref="AP6:AP7"/>
    <mergeCell ref="K5:K6"/>
    <mergeCell ref="L5:L6"/>
    <mergeCell ref="M5:P5"/>
    <mergeCell ref="Q5:R5"/>
    <mergeCell ref="S5:X5"/>
    <mergeCell ref="Y5:AA5"/>
    <mergeCell ref="AB5:AB6"/>
    <mergeCell ref="AC5:AC6"/>
    <mergeCell ref="AD5:AH5"/>
    <mergeCell ref="AI5:AI6"/>
    <mergeCell ref="AJ5:AJ6"/>
    <mergeCell ref="C3:W3"/>
    <mergeCell ref="B5:B7"/>
    <mergeCell ref="C5:C7"/>
    <mergeCell ref="D5:D7"/>
    <mergeCell ref="E5:E7"/>
    <mergeCell ref="F5:F7"/>
    <mergeCell ref="G5:G7"/>
    <mergeCell ref="H5:H7"/>
    <mergeCell ref="I5:I7"/>
    <mergeCell ref="J5:J7"/>
  </mergeCells>
  <dataValidations count="4">
    <dataValidation type="list" allowBlank="1" showInputMessage="1" showErrorMessage="1" sqref="G9:G59">
      <formula1>$AI$1:$AI$4</formula1>
    </dataValidation>
    <dataValidation type="list" allowBlank="1" showInputMessage="1" showErrorMessage="1" sqref="D9:D58">
      <formula1>"1,2,3,4,5,6,7,8,9,10"</formula1>
    </dataValidation>
    <dataValidation type="list" allowBlank="1" showInputMessage="1" showErrorMessage="1" sqref="F9:F58">
      <formula1>$AJ$1:$AJ$4</formula1>
    </dataValidation>
    <dataValidation type="list" allowBlank="1" showInputMessage="1" showErrorMessage="1" sqref="F59:F63 G60:G63">
      <formula1>#REF!</formula1>
    </dataValidation>
  </dataValidations>
  <hyperlinks>
    <hyperlink ref="C1" location="'Перечень форм для заполнения'!A1" display="Перечень форм"/>
    <hyperlink ref="B1" location="'Перечень форм для заполнения'!A1" display="Вернуться к перечню форм"/>
    <hyperlink ref="C59" location="'20 (аморт-отч пер)'!A1" display="Добавить"/>
  </hyperlinks>
  <pageMargins left="0.31496062992125984" right="0.31496062992125984" top="0.47244094488188981" bottom="0.43307086614173229" header="0.31496062992125984" footer="0.31496062992125984"/>
  <pageSetup paperSize="8" scale="31" fitToHeight="1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B1:AI74"/>
  <sheetViews>
    <sheetView showGridLines="0" zoomScale="85" zoomScaleNormal="85" zoomScaleSheetLayoutView="40" workbookViewId="0">
      <pane xSplit="3" topLeftCell="X1" activePane="topRight" state="frozen"/>
      <selection activeCell="F44" sqref="F44"/>
      <selection pane="topRight" activeCell="AB67" sqref="AB67"/>
    </sheetView>
  </sheetViews>
  <sheetFormatPr defaultColWidth="9.140625" defaultRowHeight="12.75"/>
  <cols>
    <col min="1" max="1" width="3.7109375" style="827" customWidth="1"/>
    <col min="2" max="2" width="5.42578125" style="827" customWidth="1"/>
    <col min="3" max="3" width="43.5703125" style="827" customWidth="1"/>
    <col min="4" max="4" width="20.7109375" style="827" customWidth="1"/>
    <col min="5" max="5" width="19.140625" style="827" customWidth="1"/>
    <col min="6" max="7" width="15.7109375" style="827" customWidth="1"/>
    <col min="8" max="8" width="10.7109375" style="827" customWidth="1"/>
    <col min="9" max="9" width="10.42578125" style="825" customWidth="1"/>
    <col min="10" max="10" width="14.42578125" style="826" customWidth="1"/>
    <col min="11" max="11" width="16.28515625" style="827" customWidth="1"/>
    <col min="12" max="12" width="17.42578125" style="826" customWidth="1"/>
    <col min="13" max="13" width="15.28515625" style="828" customWidth="1"/>
    <col min="14" max="14" width="20.7109375" style="827" customWidth="1"/>
    <col min="15" max="16" width="13.28515625" style="827" customWidth="1"/>
    <col min="17" max="18" width="14.7109375" style="827" customWidth="1"/>
    <col min="19" max="19" width="14.140625" style="827" customWidth="1"/>
    <col min="20" max="20" width="23.28515625" style="827" customWidth="1"/>
    <col min="21" max="21" width="23.5703125" style="827" customWidth="1"/>
    <col min="22" max="22" width="15.28515625" style="827" customWidth="1"/>
    <col min="23" max="23" width="14.28515625" style="827" customWidth="1"/>
    <col min="24" max="24" width="16.42578125" style="829" customWidth="1"/>
    <col min="25" max="25" width="19.42578125" style="212" customWidth="1"/>
    <col min="26" max="26" width="21.28515625" style="212" customWidth="1"/>
    <col min="27" max="27" width="19.42578125" style="212" customWidth="1"/>
    <col min="28" max="29" width="16.42578125" style="212" customWidth="1"/>
    <col min="30" max="30" width="31.42578125" style="827" customWidth="1"/>
    <col min="31" max="31" width="23.28515625" style="827" customWidth="1"/>
    <col min="32" max="33" width="23.5703125" style="827" customWidth="1"/>
    <col min="34" max="34" width="19.42578125" style="212" customWidth="1"/>
    <col min="35" max="35" width="23.5703125" style="827" customWidth="1"/>
    <col min="36" max="16384" width="9.140625" style="827"/>
  </cols>
  <sheetData>
    <row r="1" spans="2:35" ht="12.6" customHeight="1">
      <c r="B1" s="210" t="s">
        <v>210</v>
      </c>
      <c r="C1" s="824"/>
      <c r="D1" s="824"/>
      <c r="E1" s="824"/>
      <c r="F1" s="824"/>
      <c r="G1" s="824"/>
      <c r="H1" s="824"/>
      <c r="Y1" s="830" t="s">
        <v>168</v>
      </c>
      <c r="Z1" s="830"/>
      <c r="AA1" s="830"/>
      <c r="AB1" s="830" t="str">
        <f>'23 (свод средн стоим ОС)'!B9</f>
        <v>ВЛЭП</v>
      </c>
      <c r="AH1" s="830" t="s">
        <v>168</v>
      </c>
    </row>
    <row r="2" spans="2:35" ht="7.15" customHeight="1">
      <c r="R2" s="831"/>
      <c r="S2" s="831" t="e">
        <f>SUMIFS('21 (аморт-план)'!$M$9:$M59,'21 (аморт-план)'!$G$9:$G59,'23 (свод средн стоим ОС)'!$B11,'21 (аморт-план)'!$F$9:$F$58,'23 (свод средн стоим ОС)'!$B$9)</f>
        <v>#VALUE!</v>
      </c>
      <c r="T2" s="831"/>
      <c r="U2" s="831"/>
      <c r="V2" s="831"/>
      <c r="W2" s="831"/>
      <c r="X2" s="832"/>
      <c r="Y2" s="830" t="s">
        <v>208</v>
      </c>
      <c r="Z2" s="830"/>
      <c r="AA2" s="830"/>
      <c r="AB2" s="830" t="str">
        <f>'23 (свод средн стоим ОС)'!B14</f>
        <v>КЛЭП</v>
      </c>
      <c r="AD2" s="831"/>
      <c r="AE2" s="831"/>
      <c r="AF2" s="831"/>
      <c r="AG2" s="831"/>
      <c r="AH2" s="830" t="s">
        <v>208</v>
      </c>
      <c r="AI2" s="831"/>
    </row>
    <row r="3" spans="2:35" ht="18.75">
      <c r="B3" s="635"/>
      <c r="C3" s="2427" t="s">
        <v>800</v>
      </c>
      <c r="D3" s="2427"/>
      <c r="E3" s="2427"/>
      <c r="F3" s="2427"/>
      <c r="G3" s="2427"/>
      <c r="H3" s="2427"/>
      <c r="I3" s="2427"/>
      <c r="J3" s="2427"/>
      <c r="K3" s="2427"/>
      <c r="L3" s="2427"/>
      <c r="M3" s="2427"/>
      <c r="N3" s="2427"/>
      <c r="O3" s="2427"/>
      <c r="P3" s="2427"/>
      <c r="Q3" s="2427"/>
      <c r="R3" s="2427"/>
      <c r="S3" s="833"/>
      <c r="T3" s="833"/>
      <c r="U3" s="833"/>
      <c r="V3" s="635"/>
      <c r="W3" s="635"/>
      <c r="X3" s="833"/>
      <c r="Y3" s="830" t="s">
        <v>209</v>
      </c>
      <c r="Z3" s="830"/>
      <c r="AA3" s="830"/>
      <c r="AB3" s="830" t="str">
        <f>'23 (свод средн стоим ОС)'!B19</f>
        <v>Подстанция</v>
      </c>
      <c r="AD3" s="833"/>
      <c r="AE3" s="833"/>
      <c r="AF3" s="833"/>
      <c r="AG3" s="833"/>
      <c r="AH3" s="830" t="s">
        <v>209</v>
      </c>
      <c r="AI3" s="833"/>
    </row>
    <row r="4" spans="2:35">
      <c r="B4" s="638"/>
      <c r="C4" s="638"/>
      <c r="D4" s="638"/>
      <c r="E4" s="638"/>
      <c r="F4" s="638"/>
      <c r="G4" s="638"/>
      <c r="H4" s="638"/>
      <c r="I4" s="834"/>
      <c r="J4" s="834"/>
      <c r="K4" s="835"/>
      <c r="L4" s="835"/>
      <c r="M4" s="835"/>
      <c r="N4" s="835"/>
      <c r="O4" s="835"/>
      <c r="P4" s="835"/>
      <c r="Q4" s="835"/>
      <c r="R4" s="835"/>
      <c r="S4" s="640"/>
      <c r="T4" s="640"/>
      <c r="U4" s="640"/>
      <c r="V4" s="835"/>
      <c r="W4" s="865"/>
      <c r="X4" s="865"/>
      <c r="Y4" s="836" t="s">
        <v>171</v>
      </c>
      <c r="Z4" s="836"/>
      <c r="AA4" s="836"/>
      <c r="AB4" s="836" t="s">
        <v>766</v>
      </c>
      <c r="AC4" s="485"/>
      <c r="AD4" s="640"/>
      <c r="AE4" s="640"/>
      <c r="AF4" s="640"/>
      <c r="AG4" s="640"/>
      <c r="AH4" s="836" t="s">
        <v>171</v>
      </c>
      <c r="AI4" s="640"/>
    </row>
    <row r="5" spans="2:35" ht="27" customHeight="1">
      <c r="B5" s="2345" t="s">
        <v>12</v>
      </c>
      <c r="C5" s="2345" t="s">
        <v>801</v>
      </c>
      <c r="D5" s="2380" t="s">
        <v>768</v>
      </c>
      <c r="E5" s="2345" t="s">
        <v>552</v>
      </c>
      <c r="F5" s="2345" t="s">
        <v>769</v>
      </c>
      <c r="G5" s="2345" t="s">
        <v>770</v>
      </c>
      <c r="H5" s="2343" t="s">
        <v>771</v>
      </c>
      <c r="I5" s="2343" t="s">
        <v>802</v>
      </c>
      <c r="J5" s="2343" t="s">
        <v>773</v>
      </c>
      <c r="K5" s="2343" t="s">
        <v>774</v>
      </c>
      <c r="L5" s="2343" t="s">
        <v>775</v>
      </c>
      <c r="M5" s="2343" t="str">
        <f>"По состоянию на 01.01."&amp;'0. Анкета'!C15&amp;" (31.12."&amp;'0. Анкета'!C15-1&amp;")"</f>
        <v>По состоянию на 01.01.2024 (31.12.2023)</v>
      </c>
      <c r="N5" s="2343"/>
      <c r="O5" s="2343"/>
      <c r="P5" s="2343"/>
      <c r="Q5" s="2360" t="str">
        <f>"Изменение балансковой стоимости за "&amp;'0. Анкета'!C15&amp;" год"</f>
        <v>Изменение балансковой стоимости за 2024 год</v>
      </c>
      <c r="R5" s="2362"/>
      <c r="S5" s="2361" t="str">
        <f>"Амортизация на "&amp;'0. Анкета'!C15&amp;" год"</f>
        <v>Амортизация на 2024 год</v>
      </c>
      <c r="T5" s="2361"/>
      <c r="U5" s="2362"/>
      <c r="V5" s="2432" t="str">
        <f>"По состоянию на 01.01."&amp;'0. Анкета'!C15&amp;" (31.12."&amp;'0. Анкета'!C15-1&amp;")"</f>
        <v>По состоянию на 01.01.2024 (31.12.2023)</v>
      </c>
      <c r="W5" s="2432"/>
      <c r="X5" s="2432"/>
      <c r="Y5" s="2429" t="str">
        <f>"Налог на имущество - заявлено в тарифе на "&amp;'0. Анкета'!C15&amp;" год"</f>
        <v>Налог на имущество - заявлено в тарифе на 2024 год</v>
      </c>
      <c r="Z5" s="2430"/>
      <c r="AA5" s="2430"/>
      <c r="AB5" s="2430"/>
      <c r="AC5" s="2431"/>
      <c r="AD5" s="2343" t="str">
        <f>"Расчет амортизации по MAX сроку полезного использования на "&amp;'0. Анкета'!C15&amp;" год"</f>
        <v>Расчет амортизации по MAX сроку полезного использования на 2024 год</v>
      </c>
      <c r="AE5" s="2343"/>
      <c r="AF5" s="2343"/>
      <c r="AG5" s="2343"/>
      <c r="AH5" s="2343"/>
      <c r="AI5" s="2343"/>
    </row>
    <row r="6" spans="2:35" ht="84" customHeight="1">
      <c r="B6" s="2345"/>
      <c r="C6" s="2345"/>
      <c r="D6" s="2381"/>
      <c r="E6" s="2345"/>
      <c r="F6" s="2345"/>
      <c r="G6" s="2345"/>
      <c r="H6" s="2343"/>
      <c r="I6" s="2343"/>
      <c r="J6" s="2343"/>
      <c r="K6" s="2343"/>
      <c r="L6" s="2343"/>
      <c r="M6" s="838" t="s">
        <v>776</v>
      </c>
      <c r="N6" s="644" t="s">
        <v>777</v>
      </c>
      <c r="O6" s="644" t="s">
        <v>778</v>
      </c>
      <c r="P6" s="644" t="s">
        <v>779</v>
      </c>
      <c r="Q6" s="644" t="s">
        <v>780</v>
      </c>
      <c r="R6" s="644" t="s">
        <v>781</v>
      </c>
      <c r="S6" s="503" t="s">
        <v>803</v>
      </c>
      <c r="T6" s="503" t="s">
        <v>784</v>
      </c>
      <c r="U6" s="503" t="s">
        <v>804</v>
      </c>
      <c r="V6" s="644" t="s">
        <v>776</v>
      </c>
      <c r="W6" s="644" t="s">
        <v>778</v>
      </c>
      <c r="X6" s="839" t="s">
        <v>779</v>
      </c>
      <c r="Y6" s="839" t="s">
        <v>2182</v>
      </c>
      <c r="Z6" s="839" t="s">
        <v>415</v>
      </c>
      <c r="AA6" s="839" t="s">
        <v>172</v>
      </c>
      <c r="AB6" s="758" t="s">
        <v>788</v>
      </c>
      <c r="AC6" s="758" t="s">
        <v>805</v>
      </c>
      <c r="AD6" s="866" t="s">
        <v>806</v>
      </c>
      <c r="AE6" s="866" t="s">
        <v>807</v>
      </c>
      <c r="AF6" s="503" t="s">
        <v>793</v>
      </c>
      <c r="AG6" s="503" t="s">
        <v>808</v>
      </c>
      <c r="AH6" s="839" t="str">
        <f>"сумма налога на имущество  на "&amp;'0. Анкета'!C15&amp;" год"</f>
        <v>сумма налога на имущество  на 2024 год</v>
      </c>
      <c r="AI6" s="503" t="s">
        <v>747</v>
      </c>
    </row>
    <row r="7" spans="2:35">
      <c r="B7" s="2345"/>
      <c r="C7" s="2345"/>
      <c r="D7" s="2382"/>
      <c r="E7" s="2345"/>
      <c r="F7" s="2345"/>
      <c r="G7" s="2345"/>
      <c r="H7" s="2343"/>
      <c r="I7" s="2343"/>
      <c r="J7" s="2343"/>
      <c r="K7" s="644" t="s">
        <v>578</v>
      </c>
      <c r="L7" s="644" t="s">
        <v>794</v>
      </c>
      <c r="M7" s="838" t="s">
        <v>578</v>
      </c>
      <c r="N7" s="644" t="s">
        <v>578</v>
      </c>
      <c r="O7" s="644" t="s">
        <v>578</v>
      </c>
      <c r="P7" s="644" t="s">
        <v>794</v>
      </c>
      <c r="Q7" s="644" t="s">
        <v>578</v>
      </c>
      <c r="R7" s="644" t="s">
        <v>578</v>
      </c>
      <c r="S7" s="644" t="s">
        <v>578</v>
      </c>
      <c r="T7" s="644" t="s">
        <v>578</v>
      </c>
      <c r="U7" s="644" t="s">
        <v>578</v>
      </c>
      <c r="V7" s="644" t="s">
        <v>578</v>
      </c>
      <c r="W7" s="644" t="s">
        <v>578</v>
      </c>
      <c r="X7" s="839" t="s">
        <v>794</v>
      </c>
      <c r="Y7" s="644" t="s">
        <v>578</v>
      </c>
      <c r="Z7" s="839" t="s">
        <v>268</v>
      </c>
      <c r="AA7" s="839" t="s">
        <v>578</v>
      </c>
      <c r="AB7" s="644" t="s">
        <v>578</v>
      </c>
      <c r="AC7" s="644" t="s">
        <v>268</v>
      </c>
      <c r="AD7" s="644" t="s">
        <v>578</v>
      </c>
      <c r="AE7" s="644" t="s">
        <v>578</v>
      </c>
      <c r="AF7" s="644" t="s">
        <v>578</v>
      </c>
      <c r="AG7" s="644" t="s">
        <v>578</v>
      </c>
      <c r="AH7" s="644" t="s">
        <v>578</v>
      </c>
      <c r="AI7" s="644" t="s">
        <v>578</v>
      </c>
    </row>
    <row r="8" spans="2:35">
      <c r="B8" s="840">
        <v>1</v>
      </c>
      <c r="C8" s="841">
        <f>B8+1</f>
        <v>2</v>
      </c>
      <c r="D8" s="841">
        <f>C8+1</f>
        <v>3</v>
      </c>
      <c r="E8" s="841">
        <f>D8+1</f>
        <v>4</v>
      </c>
      <c r="F8" s="841">
        <f t="shared" ref="F8:AI8" si="0">E8+1</f>
        <v>5</v>
      </c>
      <c r="G8" s="841">
        <f t="shared" si="0"/>
        <v>6</v>
      </c>
      <c r="H8" s="841">
        <f t="shared" si="0"/>
        <v>7</v>
      </c>
      <c r="I8" s="841">
        <f t="shared" si="0"/>
        <v>8</v>
      </c>
      <c r="J8" s="841">
        <f t="shared" si="0"/>
        <v>9</v>
      </c>
      <c r="K8" s="841">
        <f t="shared" si="0"/>
        <v>10</v>
      </c>
      <c r="L8" s="841">
        <f t="shared" si="0"/>
        <v>11</v>
      </c>
      <c r="M8" s="841">
        <f t="shared" si="0"/>
        <v>12</v>
      </c>
      <c r="N8" s="841">
        <f t="shared" si="0"/>
        <v>13</v>
      </c>
      <c r="O8" s="841">
        <f t="shared" si="0"/>
        <v>14</v>
      </c>
      <c r="P8" s="841">
        <f t="shared" si="0"/>
        <v>15</v>
      </c>
      <c r="Q8" s="841">
        <f t="shared" si="0"/>
        <v>16</v>
      </c>
      <c r="R8" s="841">
        <f t="shared" si="0"/>
        <v>17</v>
      </c>
      <c r="S8" s="841">
        <f t="shared" si="0"/>
        <v>18</v>
      </c>
      <c r="T8" s="841">
        <f t="shared" si="0"/>
        <v>19</v>
      </c>
      <c r="U8" s="841">
        <f t="shared" si="0"/>
        <v>20</v>
      </c>
      <c r="V8" s="841">
        <f t="shared" si="0"/>
        <v>21</v>
      </c>
      <c r="W8" s="841">
        <f t="shared" si="0"/>
        <v>22</v>
      </c>
      <c r="X8" s="841">
        <f t="shared" si="0"/>
        <v>23</v>
      </c>
      <c r="Y8" s="841">
        <f t="shared" si="0"/>
        <v>24</v>
      </c>
      <c r="Z8" s="867">
        <f t="shared" si="0"/>
        <v>25</v>
      </c>
      <c r="AA8" s="867">
        <f t="shared" si="0"/>
        <v>26</v>
      </c>
      <c r="AB8" s="867">
        <f t="shared" si="0"/>
        <v>27</v>
      </c>
      <c r="AC8" s="867">
        <f t="shared" si="0"/>
        <v>28</v>
      </c>
      <c r="AD8" s="841">
        <f t="shared" si="0"/>
        <v>29</v>
      </c>
      <c r="AE8" s="841">
        <f t="shared" si="0"/>
        <v>30</v>
      </c>
      <c r="AF8" s="841">
        <f t="shared" si="0"/>
        <v>31</v>
      </c>
      <c r="AG8" s="841">
        <f t="shared" si="0"/>
        <v>32</v>
      </c>
      <c r="AH8" s="841">
        <f t="shared" si="0"/>
        <v>33</v>
      </c>
      <c r="AI8" s="841">
        <f t="shared" si="0"/>
        <v>34</v>
      </c>
    </row>
    <row r="9" spans="2:35" ht="25.5" customHeight="1">
      <c r="B9" s="842">
        <f>ROW()-ROW(B$8)</f>
        <v>1</v>
      </c>
      <c r="C9" s="843"/>
      <c r="D9" s="844"/>
      <c r="E9" s="843"/>
      <c r="F9" s="844"/>
      <c r="G9" s="844"/>
      <c r="H9" s="845"/>
      <c r="I9" s="845"/>
      <c r="J9" s="845"/>
      <c r="K9" s="846"/>
      <c r="L9" s="845"/>
      <c r="M9" s="846"/>
      <c r="N9" s="868"/>
      <c r="O9" s="846"/>
      <c r="P9" s="657"/>
      <c r="Q9" s="657"/>
      <c r="R9" s="869"/>
      <c r="S9" s="846"/>
      <c r="T9" s="846"/>
      <c r="U9" s="655"/>
      <c r="V9" s="846"/>
      <c r="W9" s="846"/>
      <c r="X9" s="870"/>
      <c r="Y9" s="871">
        <f>Z9*AA9</f>
        <v>0</v>
      </c>
      <c r="Z9" s="872"/>
      <c r="AA9" s="871">
        <f>AB9*AC9</f>
        <v>0</v>
      </c>
      <c r="AB9" s="846"/>
      <c r="AC9" s="872"/>
      <c r="AD9" s="846"/>
      <c r="AE9" s="846"/>
      <c r="AF9" s="846"/>
      <c r="AG9" s="846"/>
      <c r="AH9" s="846"/>
      <c r="AI9" s="846"/>
    </row>
    <row r="10" spans="2:35" ht="25.5" hidden="1" customHeight="1">
      <c r="B10" s="842">
        <f t="shared" ref="B10:B58" si="1">ROW()-ROW(B$8)</f>
        <v>2</v>
      </c>
      <c r="C10" s="843"/>
      <c r="D10" s="844"/>
      <c r="E10" s="843"/>
      <c r="F10" s="844"/>
      <c r="G10" s="844"/>
      <c r="H10" s="845"/>
      <c r="I10" s="845"/>
      <c r="J10" s="845"/>
      <c r="K10" s="846"/>
      <c r="L10" s="845"/>
      <c r="M10" s="846"/>
      <c r="N10" s="868"/>
      <c r="O10" s="846"/>
      <c r="P10" s="657"/>
      <c r="Q10" s="657"/>
      <c r="R10" s="846"/>
      <c r="S10" s="846"/>
      <c r="T10" s="846"/>
      <c r="U10" s="655"/>
      <c r="V10" s="846"/>
      <c r="W10" s="846"/>
      <c r="X10" s="870"/>
      <c r="Y10" s="871">
        <f t="shared" ref="Y10:Y58" si="2">Z10*AA10</f>
        <v>0</v>
      </c>
      <c r="Z10" s="872"/>
      <c r="AA10" s="871">
        <f t="shared" ref="AA10:AA58" si="3">AB10*AC10</f>
        <v>0</v>
      </c>
      <c r="AB10" s="846"/>
      <c r="AC10" s="872"/>
      <c r="AD10" s="846"/>
      <c r="AE10" s="846"/>
      <c r="AF10" s="846"/>
      <c r="AG10" s="846"/>
      <c r="AH10" s="846"/>
      <c r="AI10" s="846"/>
    </row>
    <row r="11" spans="2:35" ht="25.5" hidden="1" customHeight="1">
      <c r="B11" s="842">
        <f t="shared" si="1"/>
        <v>3</v>
      </c>
      <c r="C11" s="843"/>
      <c r="D11" s="844"/>
      <c r="E11" s="843"/>
      <c r="F11" s="844"/>
      <c r="G11" s="844"/>
      <c r="H11" s="845"/>
      <c r="I11" s="845"/>
      <c r="J11" s="845"/>
      <c r="K11" s="846"/>
      <c r="L11" s="845"/>
      <c r="M11" s="846"/>
      <c r="N11" s="868"/>
      <c r="O11" s="846"/>
      <c r="P11" s="657"/>
      <c r="Q11" s="657"/>
      <c r="R11" s="869"/>
      <c r="S11" s="846"/>
      <c r="T11" s="846"/>
      <c r="U11" s="655"/>
      <c r="V11" s="846"/>
      <c r="W11" s="846"/>
      <c r="X11" s="870"/>
      <c r="Y11" s="871">
        <f t="shared" si="2"/>
        <v>0</v>
      </c>
      <c r="Z11" s="872"/>
      <c r="AA11" s="871">
        <f t="shared" si="3"/>
        <v>0</v>
      </c>
      <c r="AB11" s="846"/>
      <c r="AC11" s="872"/>
      <c r="AD11" s="846"/>
      <c r="AE11" s="846"/>
      <c r="AF11" s="846"/>
      <c r="AG11" s="846"/>
      <c r="AH11" s="846"/>
      <c r="AI11" s="846"/>
    </row>
    <row r="12" spans="2:35" ht="25.5" hidden="1" customHeight="1">
      <c r="B12" s="842">
        <f t="shared" si="1"/>
        <v>4</v>
      </c>
      <c r="C12" s="843"/>
      <c r="D12" s="844"/>
      <c r="E12" s="843"/>
      <c r="F12" s="844"/>
      <c r="G12" s="844"/>
      <c r="H12" s="845"/>
      <c r="I12" s="845"/>
      <c r="J12" s="845"/>
      <c r="K12" s="846"/>
      <c r="L12" s="845"/>
      <c r="M12" s="846"/>
      <c r="N12" s="868"/>
      <c r="O12" s="846"/>
      <c r="P12" s="657"/>
      <c r="Q12" s="657"/>
      <c r="R12" s="846"/>
      <c r="S12" s="846"/>
      <c r="T12" s="846"/>
      <c r="U12" s="655"/>
      <c r="V12" s="846"/>
      <c r="W12" s="846"/>
      <c r="X12" s="870"/>
      <c r="Y12" s="871">
        <f t="shared" si="2"/>
        <v>0</v>
      </c>
      <c r="Z12" s="872"/>
      <c r="AA12" s="871">
        <f t="shared" si="3"/>
        <v>0</v>
      </c>
      <c r="AB12" s="846"/>
      <c r="AC12" s="872"/>
      <c r="AD12" s="846"/>
      <c r="AE12" s="846"/>
      <c r="AF12" s="846"/>
      <c r="AG12" s="846"/>
      <c r="AH12" s="846"/>
      <c r="AI12" s="846"/>
    </row>
    <row r="13" spans="2:35" ht="25.5" hidden="1" customHeight="1">
      <c r="B13" s="842">
        <f t="shared" si="1"/>
        <v>5</v>
      </c>
      <c r="C13" s="843"/>
      <c r="D13" s="844"/>
      <c r="E13" s="843"/>
      <c r="F13" s="844"/>
      <c r="G13" s="844"/>
      <c r="H13" s="845"/>
      <c r="I13" s="845"/>
      <c r="J13" s="850"/>
      <c r="K13" s="846"/>
      <c r="L13" s="845"/>
      <c r="M13" s="846"/>
      <c r="N13" s="868"/>
      <c r="O13" s="846"/>
      <c r="P13" s="657"/>
      <c r="Q13" s="657"/>
      <c r="R13" s="869"/>
      <c r="S13" s="846"/>
      <c r="T13" s="846"/>
      <c r="U13" s="655"/>
      <c r="V13" s="846"/>
      <c r="W13" s="846"/>
      <c r="X13" s="870"/>
      <c r="Y13" s="871">
        <f t="shared" si="2"/>
        <v>0</v>
      </c>
      <c r="Z13" s="872"/>
      <c r="AA13" s="871">
        <f t="shared" si="3"/>
        <v>0</v>
      </c>
      <c r="AB13" s="846"/>
      <c r="AC13" s="872"/>
      <c r="AD13" s="846"/>
      <c r="AE13" s="846"/>
      <c r="AF13" s="846"/>
      <c r="AG13" s="846"/>
      <c r="AH13" s="846"/>
      <c r="AI13" s="846"/>
    </row>
    <row r="14" spans="2:35" ht="25.5" hidden="1" customHeight="1">
      <c r="B14" s="842">
        <f t="shared" si="1"/>
        <v>6</v>
      </c>
      <c r="C14" s="843"/>
      <c r="D14" s="844"/>
      <c r="E14" s="843"/>
      <c r="F14" s="844"/>
      <c r="G14" s="844"/>
      <c r="H14" s="845"/>
      <c r="I14" s="845"/>
      <c r="J14" s="850"/>
      <c r="K14" s="846"/>
      <c r="L14" s="845"/>
      <c r="M14" s="846"/>
      <c r="N14" s="868"/>
      <c r="O14" s="846"/>
      <c r="P14" s="657"/>
      <c r="Q14" s="657"/>
      <c r="R14" s="846"/>
      <c r="S14" s="846"/>
      <c r="T14" s="846"/>
      <c r="U14" s="655"/>
      <c r="V14" s="846"/>
      <c r="W14" s="846"/>
      <c r="X14" s="870"/>
      <c r="Y14" s="871">
        <f t="shared" si="2"/>
        <v>0</v>
      </c>
      <c r="Z14" s="872"/>
      <c r="AA14" s="871">
        <f t="shared" si="3"/>
        <v>0</v>
      </c>
      <c r="AB14" s="846"/>
      <c r="AC14" s="872"/>
      <c r="AD14" s="846"/>
      <c r="AE14" s="846"/>
      <c r="AF14" s="846"/>
      <c r="AG14" s="846"/>
      <c r="AH14" s="846"/>
      <c r="AI14" s="846"/>
    </row>
    <row r="15" spans="2:35" ht="25.5" hidden="1" customHeight="1">
      <c r="B15" s="842">
        <f t="shared" si="1"/>
        <v>7</v>
      </c>
      <c r="C15" s="843"/>
      <c r="D15" s="844"/>
      <c r="E15" s="843"/>
      <c r="F15" s="844"/>
      <c r="G15" s="844"/>
      <c r="H15" s="845"/>
      <c r="I15" s="845"/>
      <c r="J15" s="850"/>
      <c r="K15" s="846"/>
      <c r="L15" s="845"/>
      <c r="M15" s="846"/>
      <c r="N15" s="868"/>
      <c r="O15" s="846"/>
      <c r="P15" s="657"/>
      <c r="Q15" s="657"/>
      <c r="R15" s="869"/>
      <c r="S15" s="846"/>
      <c r="T15" s="846"/>
      <c r="U15" s="655"/>
      <c r="V15" s="846"/>
      <c r="W15" s="846"/>
      <c r="X15" s="870"/>
      <c r="Y15" s="871">
        <f t="shared" si="2"/>
        <v>0</v>
      </c>
      <c r="Z15" s="872"/>
      <c r="AA15" s="871">
        <f t="shared" si="3"/>
        <v>0</v>
      </c>
      <c r="AB15" s="846"/>
      <c r="AC15" s="872"/>
      <c r="AD15" s="846"/>
      <c r="AE15" s="846"/>
      <c r="AF15" s="846"/>
      <c r="AG15" s="846"/>
      <c r="AH15" s="846"/>
      <c r="AI15" s="846"/>
    </row>
    <row r="16" spans="2:35" ht="25.5" hidden="1" customHeight="1">
      <c r="B16" s="842">
        <f t="shared" si="1"/>
        <v>8</v>
      </c>
      <c r="C16" s="843"/>
      <c r="D16" s="844"/>
      <c r="E16" s="843"/>
      <c r="F16" s="844"/>
      <c r="G16" s="844"/>
      <c r="H16" s="845"/>
      <c r="I16" s="845"/>
      <c r="J16" s="850"/>
      <c r="K16" s="846"/>
      <c r="L16" s="845"/>
      <c r="M16" s="846"/>
      <c r="N16" s="868"/>
      <c r="O16" s="846"/>
      <c r="P16" s="657"/>
      <c r="Q16" s="657"/>
      <c r="R16" s="846"/>
      <c r="S16" s="846"/>
      <c r="T16" s="846"/>
      <c r="U16" s="655"/>
      <c r="V16" s="846"/>
      <c r="W16" s="846"/>
      <c r="X16" s="870"/>
      <c r="Y16" s="871">
        <f t="shared" si="2"/>
        <v>0</v>
      </c>
      <c r="Z16" s="872"/>
      <c r="AA16" s="871">
        <f t="shared" si="3"/>
        <v>0</v>
      </c>
      <c r="AB16" s="846"/>
      <c r="AC16" s="872"/>
      <c r="AD16" s="846"/>
      <c r="AE16" s="846"/>
      <c r="AF16" s="846"/>
      <c r="AG16" s="846"/>
      <c r="AH16" s="846"/>
      <c r="AI16" s="846"/>
    </row>
    <row r="17" spans="2:35" ht="25.5" hidden="1" customHeight="1">
      <c r="B17" s="842">
        <f t="shared" si="1"/>
        <v>9</v>
      </c>
      <c r="C17" s="843"/>
      <c r="D17" s="844"/>
      <c r="E17" s="843"/>
      <c r="F17" s="844"/>
      <c r="G17" s="844"/>
      <c r="H17" s="845"/>
      <c r="I17" s="845"/>
      <c r="J17" s="845"/>
      <c r="K17" s="846"/>
      <c r="L17" s="845"/>
      <c r="M17" s="846"/>
      <c r="N17" s="868"/>
      <c r="O17" s="846"/>
      <c r="P17" s="657"/>
      <c r="Q17" s="657"/>
      <c r="R17" s="869"/>
      <c r="S17" s="846"/>
      <c r="T17" s="846"/>
      <c r="U17" s="655"/>
      <c r="V17" s="846"/>
      <c r="W17" s="846"/>
      <c r="X17" s="870"/>
      <c r="Y17" s="871">
        <f t="shared" si="2"/>
        <v>0</v>
      </c>
      <c r="Z17" s="872"/>
      <c r="AA17" s="871">
        <f t="shared" si="3"/>
        <v>0</v>
      </c>
      <c r="AB17" s="846"/>
      <c r="AC17" s="872"/>
      <c r="AD17" s="846"/>
      <c r="AE17" s="846"/>
      <c r="AF17" s="846"/>
      <c r="AG17" s="846"/>
      <c r="AH17" s="846"/>
      <c r="AI17" s="846"/>
    </row>
    <row r="18" spans="2:35" ht="25.5" hidden="1" customHeight="1">
      <c r="B18" s="842">
        <f t="shared" si="1"/>
        <v>10</v>
      </c>
      <c r="C18" s="843"/>
      <c r="D18" s="844"/>
      <c r="E18" s="843"/>
      <c r="F18" s="844"/>
      <c r="G18" s="844"/>
      <c r="H18" s="845"/>
      <c r="I18" s="845"/>
      <c r="J18" s="845"/>
      <c r="K18" s="846"/>
      <c r="L18" s="845"/>
      <c r="M18" s="846"/>
      <c r="N18" s="868"/>
      <c r="O18" s="846"/>
      <c r="P18" s="657"/>
      <c r="Q18" s="657"/>
      <c r="R18" s="846"/>
      <c r="S18" s="846"/>
      <c r="T18" s="846"/>
      <c r="U18" s="655"/>
      <c r="V18" s="846"/>
      <c r="W18" s="846"/>
      <c r="X18" s="870"/>
      <c r="Y18" s="871">
        <f t="shared" si="2"/>
        <v>0</v>
      </c>
      <c r="Z18" s="872"/>
      <c r="AA18" s="871">
        <f t="shared" si="3"/>
        <v>0</v>
      </c>
      <c r="AB18" s="846"/>
      <c r="AC18" s="872"/>
      <c r="AD18" s="846"/>
      <c r="AE18" s="846"/>
      <c r="AF18" s="846"/>
      <c r="AG18" s="846"/>
      <c r="AH18" s="846"/>
      <c r="AI18" s="846"/>
    </row>
    <row r="19" spans="2:35" ht="25.5" hidden="1" customHeight="1">
      <c r="B19" s="842">
        <f t="shared" si="1"/>
        <v>11</v>
      </c>
      <c r="C19" s="843"/>
      <c r="D19" s="844"/>
      <c r="E19" s="843"/>
      <c r="F19" s="844"/>
      <c r="G19" s="844"/>
      <c r="H19" s="845"/>
      <c r="I19" s="845"/>
      <c r="J19" s="850"/>
      <c r="K19" s="846"/>
      <c r="L19" s="845"/>
      <c r="M19" s="846"/>
      <c r="N19" s="868"/>
      <c r="O19" s="846"/>
      <c r="P19" s="657"/>
      <c r="Q19" s="657"/>
      <c r="R19" s="869"/>
      <c r="S19" s="846"/>
      <c r="T19" s="846"/>
      <c r="U19" s="655"/>
      <c r="V19" s="846"/>
      <c r="W19" s="846"/>
      <c r="X19" s="870"/>
      <c r="Y19" s="871">
        <f t="shared" si="2"/>
        <v>0</v>
      </c>
      <c r="Z19" s="872"/>
      <c r="AA19" s="871">
        <f t="shared" si="3"/>
        <v>0</v>
      </c>
      <c r="AB19" s="846"/>
      <c r="AC19" s="872"/>
      <c r="AD19" s="846"/>
      <c r="AE19" s="846"/>
      <c r="AF19" s="846"/>
      <c r="AG19" s="846"/>
      <c r="AH19" s="846"/>
      <c r="AI19" s="846"/>
    </row>
    <row r="20" spans="2:35" ht="25.5" hidden="1" customHeight="1">
      <c r="B20" s="842">
        <f t="shared" si="1"/>
        <v>12</v>
      </c>
      <c r="C20" s="843"/>
      <c r="D20" s="844"/>
      <c r="E20" s="843"/>
      <c r="F20" s="844"/>
      <c r="G20" s="844"/>
      <c r="H20" s="845"/>
      <c r="I20" s="845"/>
      <c r="J20" s="845"/>
      <c r="K20" s="846"/>
      <c r="L20" s="845"/>
      <c r="M20" s="846"/>
      <c r="N20" s="868"/>
      <c r="O20" s="846"/>
      <c r="P20" s="657"/>
      <c r="Q20" s="657"/>
      <c r="R20" s="846"/>
      <c r="S20" s="846"/>
      <c r="T20" s="846"/>
      <c r="U20" s="655"/>
      <c r="V20" s="846"/>
      <c r="W20" s="846"/>
      <c r="X20" s="870"/>
      <c r="Y20" s="871">
        <f t="shared" si="2"/>
        <v>0</v>
      </c>
      <c r="Z20" s="872"/>
      <c r="AA20" s="871">
        <f t="shared" si="3"/>
        <v>0</v>
      </c>
      <c r="AB20" s="846"/>
      <c r="AC20" s="872"/>
      <c r="AD20" s="846"/>
      <c r="AE20" s="846"/>
      <c r="AF20" s="846"/>
      <c r="AG20" s="846"/>
      <c r="AH20" s="846"/>
      <c r="AI20" s="846"/>
    </row>
    <row r="21" spans="2:35" ht="25.5" hidden="1" customHeight="1">
      <c r="B21" s="842">
        <f t="shared" si="1"/>
        <v>13</v>
      </c>
      <c r="C21" s="843"/>
      <c r="D21" s="844"/>
      <c r="E21" s="843"/>
      <c r="F21" s="844"/>
      <c r="G21" s="844"/>
      <c r="H21" s="845"/>
      <c r="I21" s="845"/>
      <c r="J21" s="850"/>
      <c r="K21" s="846"/>
      <c r="L21" s="845"/>
      <c r="M21" s="846"/>
      <c r="N21" s="868"/>
      <c r="O21" s="846"/>
      <c r="P21" s="657"/>
      <c r="Q21" s="657"/>
      <c r="R21" s="869"/>
      <c r="S21" s="846"/>
      <c r="T21" s="846"/>
      <c r="U21" s="655"/>
      <c r="V21" s="846"/>
      <c r="W21" s="846"/>
      <c r="X21" s="870"/>
      <c r="Y21" s="871">
        <f t="shared" si="2"/>
        <v>0</v>
      </c>
      <c r="Z21" s="872"/>
      <c r="AA21" s="871">
        <f t="shared" si="3"/>
        <v>0</v>
      </c>
      <c r="AB21" s="846"/>
      <c r="AC21" s="872"/>
      <c r="AD21" s="846"/>
      <c r="AE21" s="846"/>
      <c r="AF21" s="846"/>
      <c r="AG21" s="846"/>
      <c r="AH21" s="846"/>
      <c r="AI21" s="846"/>
    </row>
    <row r="22" spans="2:35" ht="25.5" hidden="1" customHeight="1">
      <c r="B22" s="842">
        <f t="shared" si="1"/>
        <v>14</v>
      </c>
      <c r="C22" s="843"/>
      <c r="D22" s="844"/>
      <c r="E22" s="843"/>
      <c r="F22" s="844"/>
      <c r="G22" s="844"/>
      <c r="H22" s="845"/>
      <c r="I22" s="845"/>
      <c r="J22" s="850"/>
      <c r="K22" s="846"/>
      <c r="L22" s="845"/>
      <c r="M22" s="846"/>
      <c r="N22" s="868"/>
      <c r="O22" s="846"/>
      <c r="P22" s="657"/>
      <c r="Q22" s="657"/>
      <c r="R22" s="846"/>
      <c r="S22" s="846"/>
      <c r="T22" s="846"/>
      <c r="U22" s="655"/>
      <c r="V22" s="846"/>
      <c r="W22" s="846"/>
      <c r="X22" s="870"/>
      <c r="Y22" s="871">
        <f t="shared" si="2"/>
        <v>0</v>
      </c>
      <c r="Z22" s="872"/>
      <c r="AA22" s="871">
        <f t="shared" si="3"/>
        <v>0</v>
      </c>
      <c r="AB22" s="846"/>
      <c r="AC22" s="872"/>
      <c r="AD22" s="846"/>
      <c r="AE22" s="846"/>
      <c r="AF22" s="846"/>
      <c r="AG22" s="846"/>
      <c r="AH22" s="846"/>
      <c r="AI22" s="846"/>
    </row>
    <row r="23" spans="2:35" ht="25.5" hidden="1" customHeight="1">
      <c r="B23" s="842">
        <f t="shared" si="1"/>
        <v>15</v>
      </c>
      <c r="C23" s="843"/>
      <c r="D23" s="844"/>
      <c r="E23" s="843"/>
      <c r="F23" s="844"/>
      <c r="G23" s="844"/>
      <c r="H23" s="845"/>
      <c r="I23" s="845"/>
      <c r="J23" s="845"/>
      <c r="K23" s="846"/>
      <c r="L23" s="845"/>
      <c r="M23" s="846"/>
      <c r="N23" s="868"/>
      <c r="O23" s="846"/>
      <c r="P23" s="657"/>
      <c r="Q23" s="657"/>
      <c r="R23" s="869"/>
      <c r="S23" s="846"/>
      <c r="T23" s="846"/>
      <c r="U23" s="655"/>
      <c r="V23" s="846"/>
      <c r="W23" s="846"/>
      <c r="X23" s="870"/>
      <c r="Y23" s="871">
        <f t="shared" si="2"/>
        <v>0</v>
      </c>
      <c r="Z23" s="872"/>
      <c r="AA23" s="871">
        <f t="shared" si="3"/>
        <v>0</v>
      </c>
      <c r="AB23" s="846"/>
      <c r="AC23" s="872"/>
      <c r="AD23" s="846"/>
      <c r="AE23" s="846"/>
      <c r="AF23" s="846"/>
      <c r="AG23" s="846"/>
      <c r="AH23" s="846"/>
      <c r="AI23" s="846"/>
    </row>
    <row r="24" spans="2:35" ht="25.5" hidden="1" customHeight="1">
      <c r="B24" s="842">
        <f t="shared" si="1"/>
        <v>16</v>
      </c>
      <c r="C24" s="843"/>
      <c r="D24" s="844"/>
      <c r="E24" s="843"/>
      <c r="F24" s="844"/>
      <c r="G24" s="844"/>
      <c r="H24" s="845"/>
      <c r="I24" s="845"/>
      <c r="J24" s="845"/>
      <c r="K24" s="846"/>
      <c r="L24" s="845"/>
      <c r="M24" s="846"/>
      <c r="N24" s="868"/>
      <c r="O24" s="846"/>
      <c r="P24" s="657"/>
      <c r="Q24" s="657"/>
      <c r="R24" s="846"/>
      <c r="S24" s="846"/>
      <c r="T24" s="846"/>
      <c r="U24" s="655"/>
      <c r="V24" s="846"/>
      <c r="W24" s="846"/>
      <c r="X24" s="870"/>
      <c r="Y24" s="871">
        <f t="shared" si="2"/>
        <v>0</v>
      </c>
      <c r="Z24" s="872"/>
      <c r="AA24" s="871">
        <f t="shared" si="3"/>
        <v>0</v>
      </c>
      <c r="AB24" s="846"/>
      <c r="AC24" s="872"/>
      <c r="AD24" s="846"/>
      <c r="AE24" s="846"/>
      <c r="AF24" s="846"/>
      <c r="AG24" s="846"/>
      <c r="AH24" s="846"/>
      <c r="AI24" s="846"/>
    </row>
    <row r="25" spans="2:35" ht="25.5" hidden="1" customHeight="1">
      <c r="B25" s="842">
        <f t="shared" si="1"/>
        <v>17</v>
      </c>
      <c r="C25" s="843"/>
      <c r="D25" s="844"/>
      <c r="E25" s="843"/>
      <c r="F25" s="844"/>
      <c r="G25" s="844"/>
      <c r="H25" s="845"/>
      <c r="I25" s="845"/>
      <c r="J25" s="845"/>
      <c r="K25" s="846"/>
      <c r="L25" s="845"/>
      <c r="M25" s="846"/>
      <c r="N25" s="868"/>
      <c r="O25" s="846"/>
      <c r="P25" s="657"/>
      <c r="Q25" s="657"/>
      <c r="R25" s="869"/>
      <c r="S25" s="846"/>
      <c r="T25" s="846"/>
      <c r="U25" s="655"/>
      <c r="V25" s="846"/>
      <c r="W25" s="846"/>
      <c r="X25" s="870"/>
      <c r="Y25" s="871">
        <f t="shared" si="2"/>
        <v>0</v>
      </c>
      <c r="Z25" s="872"/>
      <c r="AA25" s="871">
        <f t="shared" si="3"/>
        <v>0</v>
      </c>
      <c r="AB25" s="846"/>
      <c r="AC25" s="872"/>
      <c r="AD25" s="846"/>
      <c r="AE25" s="846"/>
      <c r="AF25" s="846"/>
      <c r="AG25" s="846"/>
      <c r="AH25" s="846"/>
      <c r="AI25" s="846"/>
    </row>
    <row r="26" spans="2:35" ht="36.75" hidden="1" customHeight="1">
      <c r="B26" s="842">
        <f t="shared" si="1"/>
        <v>18</v>
      </c>
      <c r="C26" s="843"/>
      <c r="D26" s="844"/>
      <c r="E26" s="843"/>
      <c r="F26" s="844"/>
      <c r="G26" s="844"/>
      <c r="H26" s="845"/>
      <c r="I26" s="845"/>
      <c r="J26" s="845"/>
      <c r="K26" s="846"/>
      <c r="L26" s="845"/>
      <c r="M26" s="846"/>
      <c r="N26" s="868"/>
      <c r="O26" s="846"/>
      <c r="P26" s="657"/>
      <c r="Q26" s="657"/>
      <c r="R26" s="846"/>
      <c r="S26" s="846"/>
      <c r="T26" s="846"/>
      <c r="U26" s="655"/>
      <c r="V26" s="846"/>
      <c r="W26" s="846"/>
      <c r="X26" s="870"/>
      <c r="Y26" s="871">
        <f t="shared" si="2"/>
        <v>0</v>
      </c>
      <c r="Z26" s="872"/>
      <c r="AA26" s="871">
        <f t="shared" si="3"/>
        <v>0</v>
      </c>
      <c r="AB26" s="846"/>
      <c r="AC26" s="872"/>
      <c r="AD26" s="846"/>
      <c r="AE26" s="846"/>
      <c r="AF26" s="846"/>
      <c r="AG26" s="846"/>
      <c r="AH26" s="846"/>
      <c r="AI26" s="846"/>
    </row>
    <row r="27" spans="2:35" ht="36.75" hidden="1" customHeight="1">
      <c r="B27" s="842">
        <f t="shared" si="1"/>
        <v>19</v>
      </c>
      <c r="C27" s="843"/>
      <c r="D27" s="844"/>
      <c r="E27" s="843"/>
      <c r="F27" s="844"/>
      <c r="G27" s="844"/>
      <c r="H27" s="845"/>
      <c r="I27" s="845"/>
      <c r="J27" s="850"/>
      <c r="K27" s="846"/>
      <c r="L27" s="845"/>
      <c r="M27" s="846"/>
      <c r="N27" s="868"/>
      <c r="O27" s="846"/>
      <c r="P27" s="657"/>
      <c r="Q27" s="657"/>
      <c r="R27" s="869"/>
      <c r="S27" s="846"/>
      <c r="T27" s="846"/>
      <c r="U27" s="655"/>
      <c r="V27" s="846"/>
      <c r="W27" s="846"/>
      <c r="X27" s="870"/>
      <c r="Y27" s="871">
        <f t="shared" si="2"/>
        <v>0</v>
      </c>
      <c r="Z27" s="872"/>
      <c r="AA27" s="871">
        <f t="shared" si="3"/>
        <v>0</v>
      </c>
      <c r="AB27" s="846"/>
      <c r="AC27" s="872"/>
      <c r="AD27" s="846"/>
      <c r="AE27" s="846"/>
      <c r="AF27" s="846"/>
      <c r="AG27" s="846"/>
      <c r="AH27" s="846"/>
      <c r="AI27" s="846"/>
    </row>
    <row r="28" spans="2:35" ht="36.75" hidden="1" customHeight="1">
      <c r="B28" s="842">
        <f t="shared" si="1"/>
        <v>20</v>
      </c>
      <c r="C28" s="843"/>
      <c r="D28" s="844"/>
      <c r="E28" s="843"/>
      <c r="F28" s="844"/>
      <c r="G28" s="844"/>
      <c r="H28" s="845"/>
      <c r="I28" s="845"/>
      <c r="J28" s="845"/>
      <c r="K28" s="846"/>
      <c r="L28" s="845"/>
      <c r="M28" s="846"/>
      <c r="N28" s="868"/>
      <c r="O28" s="846"/>
      <c r="P28" s="657"/>
      <c r="Q28" s="657"/>
      <c r="R28" s="846"/>
      <c r="S28" s="846"/>
      <c r="T28" s="846"/>
      <c r="U28" s="655"/>
      <c r="V28" s="846"/>
      <c r="W28" s="846"/>
      <c r="X28" s="870"/>
      <c r="Y28" s="871">
        <f t="shared" si="2"/>
        <v>0</v>
      </c>
      <c r="Z28" s="872"/>
      <c r="AA28" s="871">
        <f t="shared" si="3"/>
        <v>0</v>
      </c>
      <c r="AB28" s="846"/>
      <c r="AC28" s="872"/>
      <c r="AD28" s="846"/>
      <c r="AE28" s="846"/>
      <c r="AF28" s="846"/>
      <c r="AG28" s="846"/>
      <c r="AH28" s="846"/>
      <c r="AI28" s="846"/>
    </row>
    <row r="29" spans="2:35" ht="36.75" hidden="1" customHeight="1">
      <c r="B29" s="842">
        <f t="shared" si="1"/>
        <v>21</v>
      </c>
      <c r="C29" s="843"/>
      <c r="D29" s="844"/>
      <c r="E29" s="843"/>
      <c r="F29" s="844"/>
      <c r="G29" s="844"/>
      <c r="H29" s="845"/>
      <c r="I29" s="845"/>
      <c r="J29" s="845"/>
      <c r="K29" s="846"/>
      <c r="L29" s="845"/>
      <c r="M29" s="846"/>
      <c r="N29" s="868"/>
      <c r="O29" s="846"/>
      <c r="P29" s="657"/>
      <c r="Q29" s="657"/>
      <c r="R29" s="869"/>
      <c r="S29" s="846"/>
      <c r="T29" s="846"/>
      <c r="U29" s="655"/>
      <c r="V29" s="846"/>
      <c r="W29" s="846"/>
      <c r="X29" s="870"/>
      <c r="Y29" s="871">
        <f t="shared" si="2"/>
        <v>0</v>
      </c>
      <c r="Z29" s="872"/>
      <c r="AA29" s="871">
        <f t="shared" si="3"/>
        <v>0</v>
      </c>
      <c r="AB29" s="846"/>
      <c r="AC29" s="872"/>
      <c r="AD29" s="846"/>
      <c r="AE29" s="846"/>
      <c r="AF29" s="846"/>
      <c r="AG29" s="846"/>
      <c r="AH29" s="846"/>
      <c r="AI29" s="846"/>
    </row>
    <row r="30" spans="2:35" ht="36.75" hidden="1" customHeight="1">
      <c r="B30" s="842">
        <f t="shared" si="1"/>
        <v>22</v>
      </c>
      <c r="C30" s="843"/>
      <c r="D30" s="844"/>
      <c r="E30" s="843"/>
      <c r="F30" s="844"/>
      <c r="G30" s="844"/>
      <c r="H30" s="845"/>
      <c r="I30" s="845"/>
      <c r="J30" s="850"/>
      <c r="K30" s="846"/>
      <c r="L30" s="845"/>
      <c r="M30" s="846"/>
      <c r="N30" s="868"/>
      <c r="O30" s="846"/>
      <c r="P30" s="657"/>
      <c r="Q30" s="657"/>
      <c r="R30" s="846"/>
      <c r="S30" s="846"/>
      <c r="T30" s="846"/>
      <c r="U30" s="655"/>
      <c r="V30" s="846"/>
      <c r="W30" s="846"/>
      <c r="X30" s="870"/>
      <c r="Y30" s="871">
        <f t="shared" si="2"/>
        <v>0</v>
      </c>
      <c r="Z30" s="872"/>
      <c r="AA30" s="871">
        <f t="shared" si="3"/>
        <v>0</v>
      </c>
      <c r="AB30" s="846"/>
      <c r="AC30" s="872"/>
      <c r="AD30" s="846"/>
      <c r="AE30" s="846"/>
      <c r="AF30" s="846"/>
      <c r="AG30" s="846"/>
      <c r="AH30" s="846"/>
      <c r="AI30" s="846"/>
    </row>
    <row r="31" spans="2:35" hidden="1">
      <c r="B31" s="842">
        <f t="shared" si="1"/>
        <v>23</v>
      </c>
      <c r="C31" s="843"/>
      <c r="D31" s="844"/>
      <c r="E31" s="843"/>
      <c r="F31" s="844"/>
      <c r="G31" s="844"/>
      <c r="H31" s="845"/>
      <c r="I31" s="845"/>
      <c r="J31" s="845"/>
      <c r="K31" s="846"/>
      <c r="L31" s="845"/>
      <c r="M31" s="846"/>
      <c r="N31" s="868"/>
      <c r="O31" s="846"/>
      <c r="P31" s="657"/>
      <c r="Q31" s="657"/>
      <c r="R31" s="869"/>
      <c r="S31" s="846"/>
      <c r="T31" s="846"/>
      <c r="U31" s="655"/>
      <c r="V31" s="846"/>
      <c r="W31" s="846"/>
      <c r="X31" s="870"/>
      <c r="Y31" s="871">
        <f t="shared" si="2"/>
        <v>0</v>
      </c>
      <c r="Z31" s="872"/>
      <c r="AA31" s="871">
        <f t="shared" si="3"/>
        <v>0</v>
      </c>
      <c r="AB31" s="846"/>
      <c r="AC31" s="872"/>
      <c r="AD31" s="846"/>
      <c r="AE31" s="846"/>
      <c r="AF31" s="846"/>
      <c r="AG31" s="846"/>
      <c r="AH31" s="846"/>
      <c r="AI31" s="846"/>
    </row>
    <row r="32" spans="2:35" hidden="1">
      <c r="B32" s="842">
        <f t="shared" si="1"/>
        <v>24</v>
      </c>
      <c r="C32" s="843"/>
      <c r="D32" s="844"/>
      <c r="E32" s="843"/>
      <c r="F32" s="844"/>
      <c r="G32" s="844"/>
      <c r="H32" s="845"/>
      <c r="I32" s="845"/>
      <c r="J32" s="850"/>
      <c r="K32" s="846"/>
      <c r="L32" s="845"/>
      <c r="M32" s="846"/>
      <c r="N32" s="868"/>
      <c r="O32" s="846"/>
      <c r="P32" s="657"/>
      <c r="Q32" s="657"/>
      <c r="R32" s="846"/>
      <c r="S32" s="846"/>
      <c r="T32" s="846"/>
      <c r="U32" s="655"/>
      <c r="V32" s="846"/>
      <c r="W32" s="846"/>
      <c r="X32" s="870"/>
      <c r="Y32" s="871">
        <f t="shared" si="2"/>
        <v>0</v>
      </c>
      <c r="Z32" s="872"/>
      <c r="AA32" s="871">
        <f t="shared" si="3"/>
        <v>0</v>
      </c>
      <c r="AB32" s="846"/>
      <c r="AC32" s="872"/>
      <c r="AD32" s="846"/>
      <c r="AE32" s="846"/>
      <c r="AF32" s="846"/>
      <c r="AG32" s="846"/>
      <c r="AH32" s="846"/>
      <c r="AI32" s="846"/>
    </row>
    <row r="33" spans="2:35" hidden="1">
      <c r="B33" s="842">
        <f t="shared" si="1"/>
        <v>25</v>
      </c>
      <c r="C33" s="843"/>
      <c r="D33" s="844"/>
      <c r="E33" s="843"/>
      <c r="F33" s="844"/>
      <c r="G33" s="844"/>
      <c r="H33" s="845"/>
      <c r="I33" s="845"/>
      <c r="J33" s="850"/>
      <c r="K33" s="846"/>
      <c r="L33" s="845"/>
      <c r="M33" s="846"/>
      <c r="N33" s="868"/>
      <c r="O33" s="846"/>
      <c r="P33" s="657"/>
      <c r="Q33" s="657"/>
      <c r="R33" s="869"/>
      <c r="S33" s="846"/>
      <c r="T33" s="846"/>
      <c r="U33" s="655"/>
      <c r="V33" s="846"/>
      <c r="W33" s="846"/>
      <c r="X33" s="870"/>
      <c r="Y33" s="871">
        <f t="shared" si="2"/>
        <v>0</v>
      </c>
      <c r="Z33" s="872"/>
      <c r="AA33" s="871">
        <f t="shared" si="3"/>
        <v>0</v>
      </c>
      <c r="AB33" s="846"/>
      <c r="AC33" s="872"/>
      <c r="AD33" s="846"/>
      <c r="AE33" s="846"/>
      <c r="AF33" s="846"/>
      <c r="AG33" s="846"/>
      <c r="AH33" s="846"/>
      <c r="AI33" s="846"/>
    </row>
    <row r="34" spans="2:35" hidden="1">
      <c r="B34" s="842">
        <f t="shared" si="1"/>
        <v>26</v>
      </c>
      <c r="C34" s="843"/>
      <c r="D34" s="844"/>
      <c r="E34" s="843"/>
      <c r="F34" s="844"/>
      <c r="G34" s="844"/>
      <c r="H34" s="845"/>
      <c r="I34" s="845"/>
      <c r="J34" s="850"/>
      <c r="K34" s="846"/>
      <c r="L34" s="845"/>
      <c r="M34" s="846"/>
      <c r="N34" s="868"/>
      <c r="O34" s="846"/>
      <c r="P34" s="657"/>
      <c r="Q34" s="657"/>
      <c r="R34" s="846"/>
      <c r="S34" s="846"/>
      <c r="T34" s="846"/>
      <c r="U34" s="655"/>
      <c r="V34" s="846"/>
      <c r="W34" s="846"/>
      <c r="X34" s="870"/>
      <c r="Y34" s="871">
        <f t="shared" si="2"/>
        <v>0</v>
      </c>
      <c r="Z34" s="872"/>
      <c r="AA34" s="871">
        <f t="shared" si="3"/>
        <v>0</v>
      </c>
      <c r="AB34" s="846"/>
      <c r="AC34" s="872"/>
      <c r="AD34" s="846"/>
      <c r="AE34" s="846"/>
      <c r="AF34" s="846"/>
      <c r="AG34" s="846"/>
      <c r="AH34" s="846"/>
      <c r="AI34" s="846"/>
    </row>
    <row r="35" spans="2:35" hidden="1">
      <c r="B35" s="842">
        <f t="shared" si="1"/>
        <v>27</v>
      </c>
      <c r="C35" s="843"/>
      <c r="D35" s="844"/>
      <c r="E35" s="843"/>
      <c r="F35" s="844"/>
      <c r="G35" s="844"/>
      <c r="H35" s="845"/>
      <c r="I35" s="845"/>
      <c r="J35" s="845"/>
      <c r="K35" s="846"/>
      <c r="L35" s="845"/>
      <c r="M35" s="846"/>
      <c r="N35" s="868"/>
      <c r="O35" s="846"/>
      <c r="P35" s="657"/>
      <c r="Q35" s="657"/>
      <c r="R35" s="869"/>
      <c r="S35" s="846"/>
      <c r="T35" s="846"/>
      <c r="U35" s="655"/>
      <c r="V35" s="846"/>
      <c r="W35" s="846"/>
      <c r="X35" s="870"/>
      <c r="Y35" s="871">
        <f t="shared" si="2"/>
        <v>0</v>
      </c>
      <c r="Z35" s="872"/>
      <c r="AA35" s="871">
        <f t="shared" si="3"/>
        <v>0</v>
      </c>
      <c r="AB35" s="846"/>
      <c r="AC35" s="872"/>
      <c r="AD35" s="846"/>
      <c r="AE35" s="846"/>
      <c r="AF35" s="846"/>
      <c r="AG35" s="846"/>
      <c r="AH35" s="846"/>
      <c r="AI35" s="846"/>
    </row>
    <row r="36" spans="2:35" hidden="1">
      <c r="B36" s="842">
        <f t="shared" si="1"/>
        <v>28</v>
      </c>
      <c r="C36" s="843"/>
      <c r="D36" s="844"/>
      <c r="E36" s="843"/>
      <c r="F36" s="844"/>
      <c r="G36" s="844"/>
      <c r="H36" s="845"/>
      <c r="I36" s="845"/>
      <c r="J36" s="845"/>
      <c r="K36" s="846"/>
      <c r="L36" s="845"/>
      <c r="M36" s="846"/>
      <c r="N36" s="868"/>
      <c r="O36" s="846"/>
      <c r="P36" s="657"/>
      <c r="Q36" s="657"/>
      <c r="R36" s="846"/>
      <c r="S36" s="846"/>
      <c r="T36" s="846"/>
      <c r="U36" s="655"/>
      <c r="V36" s="846"/>
      <c r="W36" s="846"/>
      <c r="X36" s="870"/>
      <c r="Y36" s="871">
        <f t="shared" si="2"/>
        <v>0</v>
      </c>
      <c r="Z36" s="872"/>
      <c r="AA36" s="871">
        <f t="shared" si="3"/>
        <v>0</v>
      </c>
      <c r="AB36" s="846"/>
      <c r="AC36" s="872"/>
      <c r="AD36" s="846"/>
      <c r="AE36" s="846"/>
      <c r="AF36" s="846"/>
      <c r="AG36" s="846"/>
      <c r="AH36" s="846"/>
      <c r="AI36" s="846"/>
    </row>
    <row r="37" spans="2:35" hidden="1">
      <c r="B37" s="842">
        <f t="shared" si="1"/>
        <v>29</v>
      </c>
      <c r="C37" s="843"/>
      <c r="D37" s="844"/>
      <c r="E37" s="843"/>
      <c r="F37" s="844"/>
      <c r="G37" s="844"/>
      <c r="H37" s="845"/>
      <c r="I37" s="845"/>
      <c r="J37" s="845"/>
      <c r="K37" s="846"/>
      <c r="L37" s="845"/>
      <c r="M37" s="846"/>
      <c r="N37" s="868"/>
      <c r="O37" s="846"/>
      <c r="P37" s="657"/>
      <c r="Q37" s="657"/>
      <c r="R37" s="869"/>
      <c r="S37" s="846"/>
      <c r="T37" s="846"/>
      <c r="U37" s="655"/>
      <c r="V37" s="846"/>
      <c r="W37" s="846"/>
      <c r="X37" s="870"/>
      <c r="Y37" s="871">
        <f t="shared" si="2"/>
        <v>0</v>
      </c>
      <c r="Z37" s="872"/>
      <c r="AA37" s="871">
        <f t="shared" si="3"/>
        <v>0</v>
      </c>
      <c r="AB37" s="846"/>
      <c r="AC37" s="872"/>
      <c r="AD37" s="846"/>
      <c r="AE37" s="846"/>
      <c r="AF37" s="846"/>
      <c r="AG37" s="846"/>
      <c r="AH37" s="846"/>
      <c r="AI37" s="846"/>
    </row>
    <row r="38" spans="2:35" hidden="1">
      <c r="B38" s="842">
        <f t="shared" si="1"/>
        <v>30</v>
      </c>
      <c r="C38" s="843"/>
      <c r="D38" s="844"/>
      <c r="E38" s="843"/>
      <c r="F38" s="844"/>
      <c r="G38" s="844"/>
      <c r="H38" s="845"/>
      <c r="I38" s="845"/>
      <c r="J38" s="845"/>
      <c r="K38" s="846"/>
      <c r="L38" s="845"/>
      <c r="M38" s="846"/>
      <c r="N38" s="868"/>
      <c r="O38" s="846"/>
      <c r="P38" s="657"/>
      <c r="Q38" s="657"/>
      <c r="R38" s="846"/>
      <c r="S38" s="846"/>
      <c r="T38" s="846"/>
      <c r="U38" s="655"/>
      <c r="V38" s="846"/>
      <c r="W38" s="846"/>
      <c r="X38" s="870"/>
      <c r="Y38" s="871">
        <f t="shared" si="2"/>
        <v>0</v>
      </c>
      <c r="Z38" s="872"/>
      <c r="AA38" s="871">
        <f t="shared" si="3"/>
        <v>0</v>
      </c>
      <c r="AB38" s="846"/>
      <c r="AC38" s="872"/>
      <c r="AD38" s="846"/>
      <c r="AE38" s="846"/>
      <c r="AF38" s="846"/>
      <c r="AG38" s="846"/>
      <c r="AH38" s="846"/>
      <c r="AI38" s="846"/>
    </row>
    <row r="39" spans="2:35" hidden="1">
      <c r="B39" s="842">
        <f t="shared" si="1"/>
        <v>31</v>
      </c>
      <c r="C39" s="843"/>
      <c r="D39" s="844"/>
      <c r="E39" s="843"/>
      <c r="F39" s="844"/>
      <c r="G39" s="844"/>
      <c r="H39" s="845"/>
      <c r="I39" s="845"/>
      <c r="J39" s="845"/>
      <c r="K39" s="846"/>
      <c r="L39" s="845"/>
      <c r="M39" s="846"/>
      <c r="N39" s="868"/>
      <c r="O39" s="846"/>
      <c r="P39" s="657"/>
      <c r="Q39" s="657"/>
      <c r="R39" s="869"/>
      <c r="S39" s="846"/>
      <c r="T39" s="846"/>
      <c r="U39" s="655"/>
      <c r="V39" s="846"/>
      <c r="W39" s="846"/>
      <c r="X39" s="870"/>
      <c r="Y39" s="871">
        <f t="shared" si="2"/>
        <v>0</v>
      </c>
      <c r="Z39" s="872"/>
      <c r="AA39" s="871">
        <f t="shared" si="3"/>
        <v>0</v>
      </c>
      <c r="AB39" s="846"/>
      <c r="AC39" s="872"/>
      <c r="AD39" s="846"/>
      <c r="AE39" s="846"/>
      <c r="AF39" s="846"/>
      <c r="AG39" s="846"/>
      <c r="AH39" s="846"/>
      <c r="AI39" s="846"/>
    </row>
    <row r="40" spans="2:35" hidden="1">
      <c r="B40" s="842">
        <f t="shared" si="1"/>
        <v>32</v>
      </c>
      <c r="C40" s="843"/>
      <c r="D40" s="844"/>
      <c r="E40" s="843"/>
      <c r="F40" s="844"/>
      <c r="G40" s="844"/>
      <c r="H40" s="845"/>
      <c r="I40" s="845"/>
      <c r="J40" s="845"/>
      <c r="K40" s="846"/>
      <c r="L40" s="845"/>
      <c r="M40" s="846"/>
      <c r="N40" s="868"/>
      <c r="O40" s="846"/>
      <c r="P40" s="657"/>
      <c r="Q40" s="657"/>
      <c r="R40" s="846"/>
      <c r="S40" s="846"/>
      <c r="T40" s="846"/>
      <c r="U40" s="655"/>
      <c r="V40" s="846"/>
      <c r="W40" s="846"/>
      <c r="X40" s="870"/>
      <c r="Y40" s="871">
        <f t="shared" si="2"/>
        <v>0</v>
      </c>
      <c r="Z40" s="872"/>
      <c r="AA40" s="871">
        <f t="shared" si="3"/>
        <v>0</v>
      </c>
      <c r="AB40" s="846"/>
      <c r="AC40" s="872"/>
      <c r="AD40" s="846"/>
      <c r="AE40" s="846"/>
      <c r="AF40" s="846"/>
      <c r="AG40" s="846"/>
      <c r="AH40" s="846"/>
      <c r="AI40" s="846"/>
    </row>
    <row r="41" spans="2:35" hidden="1">
      <c r="B41" s="842">
        <f t="shared" si="1"/>
        <v>33</v>
      </c>
      <c r="C41" s="843"/>
      <c r="D41" s="844"/>
      <c r="E41" s="843"/>
      <c r="F41" s="844"/>
      <c r="G41" s="844"/>
      <c r="H41" s="845"/>
      <c r="I41" s="845"/>
      <c r="J41" s="850"/>
      <c r="K41" s="846"/>
      <c r="L41" s="845"/>
      <c r="M41" s="846"/>
      <c r="N41" s="868"/>
      <c r="O41" s="846"/>
      <c r="P41" s="657"/>
      <c r="Q41" s="657"/>
      <c r="R41" s="869"/>
      <c r="S41" s="846"/>
      <c r="T41" s="846"/>
      <c r="U41" s="655"/>
      <c r="V41" s="846"/>
      <c r="W41" s="846"/>
      <c r="X41" s="870"/>
      <c r="Y41" s="871">
        <f t="shared" si="2"/>
        <v>0</v>
      </c>
      <c r="Z41" s="872"/>
      <c r="AA41" s="871">
        <f t="shared" si="3"/>
        <v>0</v>
      </c>
      <c r="AB41" s="846"/>
      <c r="AC41" s="872"/>
      <c r="AD41" s="846"/>
      <c r="AE41" s="846"/>
      <c r="AF41" s="846"/>
      <c r="AG41" s="846"/>
      <c r="AH41" s="846"/>
      <c r="AI41" s="846"/>
    </row>
    <row r="42" spans="2:35" hidden="1">
      <c r="B42" s="842">
        <f t="shared" si="1"/>
        <v>34</v>
      </c>
      <c r="C42" s="843"/>
      <c r="D42" s="844"/>
      <c r="E42" s="843"/>
      <c r="F42" s="844"/>
      <c r="G42" s="844"/>
      <c r="H42" s="845"/>
      <c r="I42" s="845"/>
      <c r="J42" s="845"/>
      <c r="K42" s="846"/>
      <c r="L42" s="845"/>
      <c r="M42" s="846"/>
      <c r="N42" s="868"/>
      <c r="O42" s="846"/>
      <c r="P42" s="657"/>
      <c r="Q42" s="657"/>
      <c r="R42" s="846"/>
      <c r="S42" s="846"/>
      <c r="T42" s="846"/>
      <c r="U42" s="655"/>
      <c r="V42" s="846"/>
      <c r="W42" s="846"/>
      <c r="X42" s="870"/>
      <c r="Y42" s="871">
        <f t="shared" si="2"/>
        <v>0</v>
      </c>
      <c r="Z42" s="872"/>
      <c r="AA42" s="871">
        <f t="shared" si="3"/>
        <v>0</v>
      </c>
      <c r="AB42" s="846"/>
      <c r="AC42" s="872"/>
      <c r="AD42" s="846"/>
      <c r="AE42" s="846"/>
      <c r="AF42" s="846"/>
      <c r="AG42" s="846"/>
      <c r="AH42" s="846"/>
      <c r="AI42" s="846"/>
    </row>
    <row r="43" spans="2:35" hidden="1">
      <c r="B43" s="842">
        <f t="shared" si="1"/>
        <v>35</v>
      </c>
      <c r="C43" s="843"/>
      <c r="D43" s="844"/>
      <c r="E43" s="843"/>
      <c r="F43" s="844"/>
      <c r="G43" s="844"/>
      <c r="H43" s="845"/>
      <c r="I43" s="845"/>
      <c r="J43" s="845"/>
      <c r="K43" s="846"/>
      <c r="L43" s="845"/>
      <c r="M43" s="846"/>
      <c r="N43" s="868"/>
      <c r="O43" s="846"/>
      <c r="P43" s="657"/>
      <c r="Q43" s="657"/>
      <c r="R43" s="869"/>
      <c r="S43" s="846"/>
      <c r="T43" s="846"/>
      <c r="U43" s="655"/>
      <c r="V43" s="846"/>
      <c r="W43" s="846"/>
      <c r="X43" s="870"/>
      <c r="Y43" s="871">
        <f t="shared" si="2"/>
        <v>0</v>
      </c>
      <c r="Z43" s="872"/>
      <c r="AA43" s="871">
        <f t="shared" si="3"/>
        <v>0</v>
      </c>
      <c r="AB43" s="846"/>
      <c r="AC43" s="872"/>
      <c r="AD43" s="846"/>
      <c r="AE43" s="846"/>
      <c r="AF43" s="846"/>
      <c r="AG43" s="846"/>
      <c r="AH43" s="846"/>
      <c r="AI43" s="846"/>
    </row>
    <row r="44" spans="2:35" hidden="1">
      <c r="B44" s="842">
        <f t="shared" si="1"/>
        <v>36</v>
      </c>
      <c r="C44" s="843"/>
      <c r="D44" s="844"/>
      <c r="E44" s="843"/>
      <c r="F44" s="844"/>
      <c r="G44" s="844"/>
      <c r="H44" s="845"/>
      <c r="I44" s="845"/>
      <c r="J44" s="845"/>
      <c r="K44" s="846"/>
      <c r="L44" s="845"/>
      <c r="M44" s="846"/>
      <c r="N44" s="868"/>
      <c r="O44" s="846"/>
      <c r="P44" s="657"/>
      <c r="Q44" s="657"/>
      <c r="R44" s="846"/>
      <c r="S44" s="846"/>
      <c r="T44" s="846"/>
      <c r="U44" s="655"/>
      <c r="V44" s="846"/>
      <c r="W44" s="846"/>
      <c r="X44" s="870"/>
      <c r="Y44" s="871">
        <f t="shared" si="2"/>
        <v>0</v>
      </c>
      <c r="Z44" s="872"/>
      <c r="AA44" s="871">
        <f t="shared" si="3"/>
        <v>0</v>
      </c>
      <c r="AB44" s="846"/>
      <c r="AC44" s="872"/>
      <c r="AD44" s="846"/>
      <c r="AE44" s="846"/>
      <c r="AF44" s="846"/>
      <c r="AG44" s="846"/>
      <c r="AH44" s="846"/>
      <c r="AI44" s="846"/>
    </row>
    <row r="45" spans="2:35" hidden="1">
      <c r="B45" s="842">
        <f t="shared" si="1"/>
        <v>37</v>
      </c>
      <c r="C45" s="843"/>
      <c r="D45" s="844"/>
      <c r="E45" s="843"/>
      <c r="F45" s="844"/>
      <c r="G45" s="844"/>
      <c r="H45" s="845"/>
      <c r="I45" s="845"/>
      <c r="J45" s="845"/>
      <c r="K45" s="846"/>
      <c r="L45" s="845"/>
      <c r="M45" s="846"/>
      <c r="N45" s="868"/>
      <c r="O45" s="846"/>
      <c r="P45" s="657"/>
      <c r="Q45" s="657"/>
      <c r="R45" s="869"/>
      <c r="S45" s="846"/>
      <c r="T45" s="846"/>
      <c r="U45" s="655"/>
      <c r="V45" s="846"/>
      <c r="W45" s="846"/>
      <c r="X45" s="870"/>
      <c r="Y45" s="871">
        <f t="shared" si="2"/>
        <v>0</v>
      </c>
      <c r="Z45" s="872"/>
      <c r="AA45" s="871">
        <f t="shared" si="3"/>
        <v>0</v>
      </c>
      <c r="AB45" s="846"/>
      <c r="AC45" s="872"/>
      <c r="AD45" s="846"/>
      <c r="AE45" s="846"/>
      <c r="AF45" s="846"/>
      <c r="AG45" s="846"/>
      <c r="AH45" s="846"/>
      <c r="AI45" s="846"/>
    </row>
    <row r="46" spans="2:35" hidden="1">
      <c r="B46" s="842">
        <f t="shared" si="1"/>
        <v>38</v>
      </c>
      <c r="C46" s="843"/>
      <c r="D46" s="844"/>
      <c r="E46" s="843"/>
      <c r="F46" s="844"/>
      <c r="G46" s="844"/>
      <c r="H46" s="845"/>
      <c r="I46" s="845"/>
      <c r="J46" s="845"/>
      <c r="K46" s="846"/>
      <c r="L46" s="845"/>
      <c r="M46" s="846"/>
      <c r="N46" s="868"/>
      <c r="O46" s="846"/>
      <c r="P46" s="657"/>
      <c r="Q46" s="657"/>
      <c r="R46" s="846"/>
      <c r="S46" s="846"/>
      <c r="T46" s="846"/>
      <c r="U46" s="655"/>
      <c r="V46" s="846"/>
      <c r="W46" s="846"/>
      <c r="X46" s="870"/>
      <c r="Y46" s="871">
        <f t="shared" si="2"/>
        <v>0</v>
      </c>
      <c r="Z46" s="872"/>
      <c r="AA46" s="871">
        <f t="shared" si="3"/>
        <v>0</v>
      </c>
      <c r="AB46" s="846"/>
      <c r="AC46" s="872"/>
      <c r="AD46" s="846"/>
      <c r="AE46" s="846"/>
      <c r="AF46" s="846"/>
      <c r="AG46" s="846"/>
      <c r="AH46" s="846"/>
      <c r="AI46" s="846"/>
    </row>
    <row r="47" spans="2:35" hidden="1">
      <c r="B47" s="842">
        <f t="shared" si="1"/>
        <v>39</v>
      </c>
      <c r="C47" s="843"/>
      <c r="D47" s="844"/>
      <c r="E47" s="843"/>
      <c r="F47" s="844"/>
      <c r="G47" s="844"/>
      <c r="H47" s="845"/>
      <c r="I47" s="845"/>
      <c r="J47" s="845"/>
      <c r="K47" s="846"/>
      <c r="L47" s="845"/>
      <c r="M47" s="846"/>
      <c r="N47" s="868"/>
      <c r="O47" s="846"/>
      <c r="P47" s="657"/>
      <c r="Q47" s="657"/>
      <c r="R47" s="869"/>
      <c r="S47" s="846"/>
      <c r="T47" s="846"/>
      <c r="U47" s="655"/>
      <c r="V47" s="846"/>
      <c r="W47" s="846"/>
      <c r="X47" s="870"/>
      <c r="Y47" s="871">
        <f t="shared" si="2"/>
        <v>0</v>
      </c>
      <c r="Z47" s="872"/>
      <c r="AA47" s="871">
        <f t="shared" si="3"/>
        <v>0</v>
      </c>
      <c r="AB47" s="846"/>
      <c r="AC47" s="872"/>
      <c r="AD47" s="846"/>
      <c r="AE47" s="846"/>
      <c r="AF47" s="846"/>
      <c r="AG47" s="846"/>
      <c r="AH47" s="846"/>
      <c r="AI47" s="846"/>
    </row>
    <row r="48" spans="2:35" hidden="1">
      <c r="B48" s="842">
        <f t="shared" si="1"/>
        <v>40</v>
      </c>
      <c r="C48" s="843"/>
      <c r="D48" s="844"/>
      <c r="E48" s="843"/>
      <c r="F48" s="844"/>
      <c r="G48" s="844"/>
      <c r="H48" s="845"/>
      <c r="I48" s="845"/>
      <c r="J48" s="845"/>
      <c r="K48" s="846"/>
      <c r="L48" s="845"/>
      <c r="M48" s="846"/>
      <c r="N48" s="868"/>
      <c r="O48" s="846"/>
      <c r="P48" s="657"/>
      <c r="Q48" s="657"/>
      <c r="R48" s="846"/>
      <c r="S48" s="846"/>
      <c r="T48" s="846"/>
      <c r="U48" s="655"/>
      <c r="V48" s="846"/>
      <c r="W48" s="846"/>
      <c r="X48" s="870"/>
      <c r="Y48" s="871">
        <f t="shared" si="2"/>
        <v>0</v>
      </c>
      <c r="Z48" s="872"/>
      <c r="AA48" s="871">
        <f t="shared" si="3"/>
        <v>0</v>
      </c>
      <c r="AB48" s="846"/>
      <c r="AC48" s="872"/>
      <c r="AD48" s="846"/>
      <c r="AE48" s="846"/>
      <c r="AF48" s="846"/>
      <c r="AG48" s="846"/>
      <c r="AH48" s="846"/>
      <c r="AI48" s="846"/>
    </row>
    <row r="49" spans="2:35" hidden="1">
      <c r="B49" s="842">
        <f t="shared" si="1"/>
        <v>41</v>
      </c>
      <c r="C49" s="843"/>
      <c r="D49" s="844"/>
      <c r="E49" s="843"/>
      <c r="F49" s="844"/>
      <c r="G49" s="844"/>
      <c r="H49" s="845"/>
      <c r="I49" s="845"/>
      <c r="J49" s="845"/>
      <c r="K49" s="846"/>
      <c r="L49" s="845"/>
      <c r="M49" s="846"/>
      <c r="N49" s="868"/>
      <c r="O49" s="846"/>
      <c r="P49" s="657"/>
      <c r="Q49" s="657"/>
      <c r="R49" s="869"/>
      <c r="S49" s="846"/>
      <c r="T49" s="846"/>
      <c r="U49" s="655"/>
      <c r="V49" s="846"/>
      <c r="W49" s="846"/>
      <c r="X49" s="870"/>
      <c r="Y49" s="871">
        <f t="shared" si="2"/>
        <v>0</v>
      </c>
      <c r="Z49" s="872"/>
      <c r="AA49" s="871">
        <f t="shared" si="3"/>
        <v>0</v>
      </c>
      <c r="AB49" s="846"/>
      <c r="AC49" s="872"/>
      <c r="AD49" s="846"/>
      <c r="AE49" s="846"/>
      <c r="AF49" s="846"/>
      <c r="AG49" s="846"/>
      <c r="AH49" s="846"/>
      <c r="AI49" s="846"/>
    </row>
    <row r="50" spans="2:35" hidden="1">
      <c r="B50" s="842">
        <f t="shared" si="1"/>
        <v>42</v>
      </c>
      <c r="C50" s="843"/>
      <c r="D50" s="844"/>
      <c r="E50" s="843"/>
      <c r="F50" s="844"/>
      <c r="G50" s="844"/>
      <c r="H50" s="845"/>
      <c r="I50" s="845"/>
      <c r="J50" s="845"/>
      <c r="K50" s="846"/>
      <c r="L50" s="845"/>
      <c r="M50" s="846"/>
      <c r="N50" s="868"/>
      <c r="O50" s="846"/>
      <c r="P50" s="657"/>
      <c r="Q50" s="657"/>
      <c r="R50" s="846"/>
      <c r="S50" s="846"/>
      <c r="T50" s="846"/>
      <c r="U50" s="655"/>
      <c r="V50" s="846"/>
      <c r="W50" s="846"/>
      <c r="X50" s="870"/>
      <c r="Y50" s="871">
        <f t="shared" si="2"/>
        <v>0</v>
      </c>
      <c r="Z50" s="872"/>
      <c r="AA50" s="871">
        <f t="shared" si="3"/>
        <v>0</v>
      </c>
      <c r="AB50" s="846"/>
      <c r="AC50" s="872"/>
      <c r="AD50" s="846"/>
      <c r="AE50" s="846"/>
      <c r="AF50" s="846"/>
      <c r="AG50" s="846"/>
      <c r="AH50" s="846"/>
      <c r="AI50" s="846"/>
    </row>
    <row r="51" spans="2:35" hidden="1">
      <c r="B51" s="842">
        <f t="shared" si="1"/>
        <v>43</v>
      </c>
      <c r="C51" s="843"/>
      <c r="D51" s="844"/>
      <c r="E51" s="843"/>
      <c r="F51" s="844"/>
      <c r="G51" s="844"/>
      <c r="H51" s="845"/>
      <c r="I51" s="845"/>
      <c r="J51" s="845"/>
      <c r="K51" s="846"/>
      <c r="L51" s="845"/>
      <c r="M51" s="846"/>
      <c r="N51" s="868"/>
      <c r="O51" s="846"/>
      <c r="P51" s="657"/>
      <c r="Q51" s="657"/>
      <c r="R51" s="869"/>
      <c r="S51" s="846"/>
      <c r="T51" s="846"/>
      <c r="U51" s="655"/>
      <c r="V51" s="846"/>
      <c r="W51" s="846"/>
      <c r="X51" s="870"/>
      <c r="Y51" s="871">
        <f t="shared" si="2"/>
        <v>0</v>
      </c>
      <c r="Z51" s="872"/>
      <c r="AA51" s="871">
        <f t="shared" si="3"/>
        <v>0</v>
      </c>
      <c r="AB51" s="846"/>
      <c r="AC51" s="872"/>
      <c r="AD51" s="846"/>
      <c r="AE51" s="846"/>
      <c r="AF51" s="846"/>
      <c r="AG51" s="846"/>
      <c r="AH51" s="846"/>
      <c r="AI51" s="846"/>
    </row>
    <row r="52" spans="2:35" hidden="1">
      <c r="B52" s="842">
        <f t="shared" si="1"/>
        <v>44</v>
      </c>
      <c r="C52" s="843"/>
      <c r="D52" s="844"/>
      <c r="E52" s="843"/>
      <c r="F52" s="844"/>
      <c r="G52" s="844"/>
      <c r="H52" s="845"/>
      <c r="I52" s="845"/>
      <c r="J52" s="845"/>
      <c r="K52" s="846"/>
      <c r="L52" s="845"/>
      <c r="M52" s="846"/>
      <c r="N52" s="868"/>
      <c r="O52" s="846"/>
      <c r="P52" s="657"/>
      <c r="Q52" s="657"/>
      <c r="R52" s="846"/>
      <c r="S52" s="846"/>
      <c r="T52" s="846"/>
      <c r="U52" s="655"/>
      <c r="V52" s="846"/>
      <c r="W52" s="846"/>
      <c r="X52" s="870"/>
      <c r="Y52" s="871">
        <f t="shared" si="2"/>
        <v>0</v>
      </c>
      <c r="Z52" s="872"/>
      <c r="AA52" s="871">
        <f t="shared" si="3"/>
        <v>0</v>
      </c>
      <c r="AB52" s="846"/>
      <c r="AC52" s="872"/>
      <c r="AD52" s="846"/>
      <c r="AE52" s="846"/>
      <c r="AF52" s="846"/>
      <c r="AG52" s="846"/>
      <c r="AH52" s="846"/>
      <c r="AI52" s="846"/>
    </row>
    <row r="53" spans="2:35" hidden="1">
      <c r="B53" s="842">
        <f t="shared" si="1"/>
        <v>45</v>
      </c>
      <c r="C53" s="843"/>
      <c r="D53" s="844"/>
      <c r="E53" s="843"/>
      <c r="F53" s="844"/>
      <c r="G53" s="844"/>
      <c r="H53" s="845"/>
      <c r="I53" s="845"/>
      <c r="J53" s="845"/>
      <c r="K53" s="846"/>
      <c r="L53" s="845"/>
      <c r="M53" s="846"/>
      <c r="N53" s="868"/>
      <c r="O53" s="846"/>
      <c r="P53" s="657"/>
      <c r="Q53" s="657"/>
      <c r="R53" s="869"/>
      <c r="S53" s="846"/>
      <c r="T53" s="846"/>
      <c r="U53" s="655"/>
      <c r="V53" s="846"/>
      <c r="W53" s="846"/>
      <c r="X53" s="870"/>
      <c r="Y53" s="871">
        <f t="shared" si="2"/>
        <v>0</v>
      </c>
      <c r="Z53" s="872"/>
      <c r="AA53" s="871">
        <f t="shared" si="3"/>
        <v>0</v>
      </c>
      <c r="AB53" s="846"/>
      <c r="AC53" s="872"/>
      <c r="AD53" s="846"/>
      <c r="AE53" s="846"/>
      <c r="AF53" s="846"/>
      <c r="AG53" s="846"/>
      <c r="AH53" s="846"/>
      <c r="AI53" s="846"/>
    </row>
    <row r="54" spans="2:35" hidden="1">
      <c r="B54" s="842">
        <f t="shared" si="1"/>
        <v>46</v>
      </c>
      <c r="C54" s="843"/>
      <c r="D54" s="844"/>
      <c r="E54" s="843"/>
      <c r="F54" s="844"/>
      <c r="G54" s="844"/>
      <c r="H54" s="845"/>
      <c r="I54" s="845"/>
      <c r="J54" s="845"/>
      <c r="K54" s="846"/>
      <c r="L54" s="845"/>
      <c r="M54" s="846"/>
      <c r="N54" s="868"/>
      <c r="O54" s="846"/>
      <c r="P54" s="657"/>
      <c r="Q54" s="657"/>
      <c r="R54" s="846"/>
      <c r="S54" s="846"/>
      <c r="T54" s="846"/>
      <c r="U54" s="655"/>
      <c r="V54" s="846"/>
      <c r="W54" s="846"/>
      <c r="X54" s="870"/>
      <c r="Y54" s="871">
        <f t="shared" si="2"/>
        <v>0</v>
      </c>
      <c r="Z54" s="872"/>
      <c r="AA54" s="871">
        <f t="shared" si="3"/>
        <v>0</v>
      </c>
      <c r="AB54" s="846"/>
      <c r="AC54" s="872"/>
      <c r="AD54" s="846"/>
      <c r="AE54" s="846"/>
      <c r="AF54" s="846"/>
      <c r="AG54" s="846"/>
      <c r="AH54" s="846"/>
      <c r="AI54" s="846"/>
    </row>
    <row r="55" spans="2:35" hidden="1">
      <c r="B55" s="842">
        <f t="shared" si="1"/>
        <v>47</v>
      </c>
      <c r="C55" s="843"/>
      <c r="D55" s="844"/>
      <c r="E55" s="843"/>
      <c r="F55" s="844"/>
      <c r="G55" s="844"/>
      <c r="H55" s="845"/>
      <c r="I55" s="845"/>
      <c r="J55" s="845"/>
      <c r="K55" s="846"/>
      <c r="L55" s="845"/>
      <c r="M55" s="846"/>
      <c r="N55" s="868"/>
      <c r="O55" s="846"/>
      <c r="P55" s="657"/>
      <c r="Q55" s="657"/>
      <c r="R55" s="869"/>
      <c r="S55" s="846"/>
      <c r="T55" s="846"/>
      <c r="U55" s="655"/>
      <c r="V55" s="846"/>
      <c r="W55" s="846"/>
      <c r="X55" s="870"/>
      <c r="Y55" s="871">
        <f t="shared" si="2"/>
        <v>0</v>
      </c>
      <c r="Z55" s="872"/>
      <c r="AA55" s="871">
        <f t="shared" si="3"/>
        <v>0</v>
      </c>
      <c r="AB55" s="846"/>
      <c r="AC55" s="872"/>
      <c r="AD55" s="846"/>
      <c r="AE55" s="846"/>
      <c r="AF55" s="846"/>
      <c r="AG55" s="846"/>
      <c r="AH55" s="846"/>
      <c r="AI55" s="846"/>
    </row>
    <row r="56" spans="2:35" hidden="1">
      <c r="B56" s="842">
        <f t="shared" si="1"/>
        <v>48</v>
      </c>
      <c r="C56" s="843"/>
      <c r="D56" s="844"/>
      <c r="E56" s="843"/>
      <c r="F56" s="844"/>
      <c r="G56" s="844"/>
      <c r="H56" s="845"/>
      <c r="I56" s="845"/>
      <c r="J56" s="845"/>
      <c r="K56" s="846"/>
      <c r="L56" s="845"/>
      <c r="M56" s="846"/>
      <c r="N56" s="868"/>
      <c r="O56" s="846"/>
      <c r="P56" s="657"/>
      <c r="Q56" s="657"/>
      <c r="R56" s="846"/>
      <c r="S56" s="846"/>
      <c r="T56" s="846"/>
      <c r="U56" s="655"/>
      <c r="V56" s="846"/>
      <c r="W56" s="846"/>
      <c r="X56" s="870"/>
      <c r="Y56" s="871">
        <f t="shared" si="2"/>
        <v>0</v>
      </c>
      <c r="Z56" s="872"/>
      <c r="AA56" s="871">
        <f t="shared" si="3"/>
        <v>0</v>
      </c>
      <c r="AB56" s="846"/>
      <c r="AC56" s="872"/>
      <c r="AD56" s="846"/>
      <c r="AE56" s="846"/>
      <c r="AF56" s="846"/>
      <c r="AG56" s="846"/>
      <c r="AH56" s="846"/>
      <c r="AI56" s="846"/>
    </row>
    <row r="57" spans="2:35" hidden="1">
      <c r="B57" s="842">
        <f t="shared" si="1"/>
        <v>49</v>
      </c>
      <c r="C57" s="843"/>
      <c r="D57" s="844"/>
      <c r="E57" s="843"/>
      <c r="F57" s="844"/>
      <c r="G57" s="844"/>
      <c r="H57" s="845"/>
      <c r="I57" s="845"/>
      <c r="J57" s="845"/>
      <c r="K57" s="846"/>
      <c r="L57" s="845"/>
      <c r="M57" s="846"/>
      <c r="N57" s="868"/>
      <c r="O57" s="846"/>
      <c r="P57" s="657"/>
      <c r="Q57" s="657"/>
      <c r="R57" s="869"/>
      <c r="S57" s="846"/>
      <c r="T57" s="846"/>
      <c r="U57" s="655"/>
      <c r="V57" s="846"/>
      <c r="W57" s="846"/>
      <c r="X57" s="870"/>
      <c r="Y57" s="871">
        <f t="shared" si="2"/>
        <v>0</v>
      </c>
      <c r="Z57" s="872"/>
      <c r="AA57" s="871">
        <f t="shared" si="3"/>
        <v>0</v>
      </c>
      <c r="AB57" s="846"/>
      <c r="AC57" s="872"/>
      <c r="AD57" s="846"/>
      <c r="AE57" s="846"/>
      <c r="AF57" s="846"/>
      <c r="AG57" s="846"/>
      <c r="AH57" s="846"/>
      <c r="AI57" s="846"/>
    </row>
    <row r="58" spans="2:35">
      <c r="B58" s="842">
        <f t="shared" si="1"/>
        <v>50</v>
      </c>
      <c r="C58" s="843"/>
      <c r="D58" s="844"/>
      <c r="E58" s="843"/>
      <c r="F58" s="844"/>
      <c r="G58" s="844"/>
      <c r="H58" s="845"/>
      <c r="I58" s="845"/>
      <c r="J58" s="845"/>
      <c r="K58" s="846"/>
      <c r="L58" s="845"/>
      <c r="M58" s="846"/>
      <c r="N58" s="868"/>
      <c r="O58" s="846"/>
      <c r="P58" s="657"/>
      <c r="Q58" s="657"/>
      <c r="R58" s="846"/>
      <c r="S58" s="846"/>
      <c r="T58" s="846"/>
      <c r="U58" s="655"/>
      <c r="V58" s="846"/>
      <c r="W58" s="846"/>
      <c r="X58" s="870"/>
      <c r="Y58" s="871">
        <f t="shared" si="2"/>
        <v>0</v>
      </c>
      <c r="Z58" s="872"/>
      <c r="AA58" s="871">
        <f t="shared" si="3"/>
        <v>0</v>
      </c>
      <c r="AB58" s="846"/>
      <c r="AC58" s="872"/>
      <c r="AD58" s="846"/>
      <c r="AE58" s="846"/>
      <c r="AF58" s="846"/>
      <c r="AG58" s="846"/>
      <c r="AH58" s="846"/>
      <c r="AI58" s="846"/>
    </row>
    <row r="59" spans="2:35">
      <c r="B59" s="736"/>
      <c r="C59" s="473" t="s">
        <v>7</v>
      </c>
      <c r="D59" s="473"/>
      <c r="E59" s="736"/>
      <c r="F59" s="736"/>
      <c r="G59" s="736"/>
      <c r="H59" s="736"/>
      <c r="I59" s="736"/>
      <c r="J59" s="736"/>
      <c r="K59" s="736"/>
      <c r="L59" s="736"/>
      <c r="M59" s="736"/>
      <c r="N59" s="736"/>
      <c r="O59" s="736"/>
      <c r="P59" s="736"/>
      <c r="Q59" s="736"/>
      <c r="R59" s="736"/>
      <c r="S59" s="736"/>
      <c r="T59" s="736"/>
      <c r="U59" s="736"/>
      <c r="V59" s="736"/>
      <c r="W59" s="736"/>
      <c r="X59" s="736"/>
      <c r="Y59" s="873"/>
      <c r="Z59" s="873"/>
      <c r="AA59" s="873"/>
      <c r="AB59" s="873"/>
      <c r="AC59" s="873"/>
      <c r="AD59" s="736"/>
      <c r="AE59" s="736"/>
      <c r="AF59" s="736"/>
      <c r="AG59" s="736"/>
      <c r="AH59" s="873"/>
      <c r="AI59" s="736"/>
    </row>
    <row r="60" spans="2:35" s="855" customFormat="1">
      <c r="B60" s="851"/>
      <c r="C60" s="852" t="s">
        <v>809</v>
      </c>
      <c r="D60" s="852"/>
      <c r="E60" s="656"/>
      <c r="F60" s="656"/>
      <c r="G60" s="656"/>
      <c r="H60" s="656"/>
      <c r="I60" s="656"/>
      <c r="J60" s="656"/>
      <c r="K60" s="874">
        <f>SUMIF($G$9:$G$59,$Y1,K$9:K$59)/1000</f>
        <v>0</v>
      </c>
      <c r="L60" s="656"/>
      <c r="M60" s="874">
        <f t="shared" ref="M60:O63" si="4">SUMIF($G$9:$G$59,$Y1,M$9:M$59)/1000</f>
        <v>0</v>
      </c>
      <c r="N60" s="874">
        <f t="shared" si="4"/>
        <v>0</v>
      </c>
      <c r="O60" s="874">
        <f t="shared" si="4"/>
        <v>0</v>
      </c>
      <c r="P60" s="656"/>
      <c r="Q60" s="874">
        <f t="shared" ref="Q60:W63" si="5">SUMIF($G$9:$G$59,$Y1,Q$9:Q$59)/1000</f>
        <v>0</v>
      </c>
      <c r="R60" s="874">
        <f t="shared" si="5"/>
        <v>0</v>
      </c>
      <c r="S60" s="874">
        <f t="shared" si="5"/>
        <v>0</v>
      </c>
      <c r="T60" s="874">
        <f t="shared" si="5"/>
        <v>0</v>
      </c>
      <c r="U60" s="874">
        <f t="shared" si="5"/>
        <v>0</v>
      </c>
      <c r="V60" s="874">
        <f t="shared" si="5"/>
        <v>0</v>
      </c>
      <c r="W60" s="874">
        <f t="shared" si="5"/>
        <v>0</v>
      </c>
      <c r="X60" s="656"/>
      <c r="Y60" s="874">
        <f>SUMIF($G$9:$G$59,$Y1,Y$9:Y$59)/1000</f>
        <v>0</v>
      </c>
      <c r="Z60" s="656"/>
      <c r="AA60" s="874">
        <f t="shared" ref="AA60:AB63" si="6">SUMIF($G$9:$G$59,$Y1,AA$9:AA$59)/1000</f>
        <v>0</v>
      </c>
      <c r="AB60" s="874">
        <f t="shared" si="6"/>
        <v>0</v>
      </c>
      <c r="AC60" s="656"/>
      <c r="AD60" s="656"/>
      <c r="AE60" s="874">
        <f t="shared" ref="AE60:AH63" si="7">SUMIF($G$9:$G$59,$Y1,AE$9:AE$59)/1000</f>
        <v>0</v>
      </c>
      <c r="AF60" s="874">
        <f t="shared" si="7"/>
        <v>0</v>
      </c>
      <c r="AG60" s="874">
        <f t="shared" si="7"/>
        <v>0</v>
      </c>
      <c r="AH60" s="874">
        <f t="shared" si="7"/>
        <v>0</v>
      </c>
      <c r="AI60" s="656"/>
    </row>
    <row r="61" spans="2:35" s="855" customFormat="1">
      <c r="B61" s="851"/>
      <c r="C61" s="852" t="s">
        <v>810</v>
      </c>
      <c r="D61" s="852"/>
      <c r="E61" s="656"/>
      <c r="F61" s="656"/>
      <c r="G61" s="656"/>
      <c r="H61" s="656"/>
      <c r="I61" s="656"/>
      <c r="J61" s="656"/>
      <c r="K61" s="874">
        <f>SUMIF($G$9:$G$59,$Y2,K$9:K$59)/1000</f>
        <v>0</v>
      </c>
      <c r="L61" s="656"/>
      <c r="M61" s="874">
        <f t="shared" si="4"/>
        <v>0</v>
      </c>
      <c r="N61" s="874">
        <f t="shared" si="4"/>
        <v>0</v>
      </c>
      <c r="O61" s="874">
        <f t="shared" si="4"/>
        <v>0</v>
      </c>
      <c r="P61" s="656"/>
      <c r="Q61" s="874">
        <f t="shared" si="5"/>
        <v>0</v>
      </c>
      <c r="R61" s="874">
        <f t="shared" si="5"/>
        <v>0</v>
      </c>
      <c r="S61" s="874">
        <f t="shared" si="5"/>
        <v>0</v>
      </c>
      <c r="T61" s="874">
        <f t="shared" si="5"/>
        <v>0</v>
      </c>
      <c r="U61" s="874">
        <f t="shared" si="5"/>
        <v>0</v>
      </c>
      <c r="V61" s="874">
        <f t="shared" si="5"/>
        <v>0</v>
      </c>
      <c r="W61" s="874">
        <f t="shared" si="5"/>
        <v>0</v>
      </c>
      <c r="X61" s="656"/>
      <c r="Y61" s="874">
        <f>SUMIF($G$9:$G$59,$Y2,Y$9:Y$59)/1000</f>
        <v>0</v>
      </c>
      <c r="Z61" s="656"/>
      <c r="AA61" s="874">
        <f t="shared" si="6"/>
        <v>0</v>
      </c>
      <c r="AB61" s="874">
        <f t="shared" si="6"/>
        <v>0</v>
      </c>
      <c r="AC61" s="656"/>
      <c r="AD61" s="656"/>
      <c r="AE61" s="874">
        <f t="shared" si="7"/>
        <v>0</v>
      </c>
      <c r="AF61" s="874">
        <f t="shared" si="7"/>
        <v>0</v>
      </c>
      <c r="AG61" s="874">
        <f t="shared" si="7"/>
        <v>0</v>
      </c>
      <c r="AH61" s="874">
        <f t="shared" si="7"/>
        <v>0</v>
      </c>
      <c r="AI61" s="656"/>
    </row>
    <row r="62" spans="2:35" s="855" customFormat="1">
      <c r="B62" s="851"/>
      <c r="C62" s="852" t="s">
        <v>811</v>
      </c>
      <c r="D62" s="852"/>
      <c r="E62" s="656"/>
      <c r="F62" s="656"/>
      <c r="G62" s="656"/>
      <c r="H62" s="656"/>
      <c r="I62" s="656"/>
      <c r="J62" s="656"/>
      <c r="K62" s="874">
        <f>SUMIF($G$9:$G$59,$Y3,K$9:K$59)/1000</f>
        <v>0</v>
      </c>
      <c r="L62" s="656"/>
      <c r="M62" s="874">
        <f t="shared" si="4"/>
        <v>0</v>
      </c>
      <c r="N62" s="874">
        <f t="shared" si="4"/>
        <v>0</v>
      </c>
      <c r="O62" s="874">
        <f t="shared" si="4"/>
        <v>0</v>
      </c>
      <c r="P62" s="656"/>
      <c r="Q62" s="874">
        <f t="shared" si="5"/>
        <v>0</v>
      </c>
      <c r="R62" s="874">
        <f t="shared" si="5"/>
        <v>0</v>
      </c>
      <c r="S62" s="874">
        <f t="shared" si="5"/>
        <v>0</v>
      </c>
      <c r="T62" s="874">
        <f t="shared" si="5"/>
        <v>0</v>
      </c>
      <c r="U62" s="874">
        <f t="shared" si="5"/>
        <v>0</v>
      </c>
      <c r="V62" s="874">
        <f t="shared" si="5"/>
        <v>0</v>
      </c>
      <c r="W62" s="874">
        <f t="shared" si="5"/>
        <v>0</v>
      </c>
      <c r="X62" s="656"/>
      <c r="Y62" s="874">
        <f>SUMIF($G$9:$G$59,$Y3,Y$9:Y$59)/1000</f>
        <v>0</v>
      </c>
      <c r="Z62" s="656"/>
      <c r="AA62" s="874">
        <f t="shared" si="6"/>
        <v>0</v>
      </c>
      <c r="AB62" s="874">
        <f t="shared" si="6"/>
        <v>0</v>
      </c>
      <c r="AC62" s="656"/>
      <c r="AD62" s="656"/>
      <c r="AE62" s="874">
        <f t="shared" si="7"/>
        <v>0</v>
      </c>
      <c r="AF62" s="874">
        <f t="shared" si="7"/>
        <v>0</v>
      </c>
      <c r="AG62" s="874">
        <f t="shared" si="7"/>
        <v>0</v>
      </c>
      <c r="AH62" s="874">
        <f t="shared" si="7"/>
        <v>0</v>
      </c>
      <c r="AI62" s="656"/>
    </row>
    <row r="63" spans="2:35" s="855" customFormat="1">
      <c r="B63" s="851"/>
      <c r="C63" s="852" t="s">
        <v>812</v>
      </c>
      <c r="D63" s="852"/>
      <c r="E63" s="656"/>
      <c r="F63" s="656"/>
      <c r="G63" s="656"/>
      <c r="H63" s="656"/>
      <c r="I63" s="656"/>
      <c r="J63" s="656"/>
      <c r="K63" s="874">
        <f>SUMIF($G$9:$G$59,$Y4,K$9:K$59)/1000</f>
        <v>0</v>
      </c>
      <c r="L63" s="656"/>
      <c r="M63" s="874">
        <f t="shared" si="4"/>
        <v>0</v>
      </c>
      <c r="N63" s="874">
        <f t="shared" si="4"/>
        <v>0</v>
      </c>
      <c r="O63" s="874">
        <f t="shared" si="4"/>
        <v>0</v>
      </c>
      <c r="P63" s="656"/>
      <c r="Q63" s="874">
        <f t="shared" si="5"/>
        <v>0</v>
      </c>
      <c r="R63" s="874">
        <f t="shared" si="5"/>
        <v>0</v>
      </c>
      <c r="S63" s="874">
        <f t="shared" si="5"/>
        <v>0</v>
      </c>
      <c r="T63" s="874">
        <f t="shared" si="5"/>
        <v>0</v>
      </c>
      <c r="U63" s="874">
        <f t="shared" si="5"/>
        <v>0</v>
      </c>
      <c r="V63" s="874">
        <f t="shared" si="5"/>
        <v>0</v>
      </c>
      <c r="W63" s="874">
        <f t="shared" si="5"/>
        <v>0</v>
      </c>
      <c r="X63" s="656"/>
      <c r="Y63" s="874">
        <f>SUMIF($G$9:$G$59,$Y4,Y$9:Y$59)/1000</f>
        <v>0</v>
      </c>
      <c r="Z63" s="656"/>
      <c r="AA63" s="874">
        <f t="shared" si="6"/>
        <v>0</v>
      </c>
      <c r="AB63" s="874">
        <f t="shared" si="6"/>
        <v>0</v>
      </c>
      <c r="AC63" s="656"/>
      <c r="AD63" s="656"/>
      <c r="AE63" s="874">
        <f t="shared" si="7"/>
        <v>0</v>
      </c>
      <c r="AF63" s="874">
        <f t="shared" si="7"/>
        <v>0</v>
      </c>
      <c r="AG63" s="874">
        <f t="shared" si="7"/>
        <v>0</v>
      </c>
      <c r="AH63" s="874">
        <f t="shared" si="7"/>
        <v>0</v>
      </c>
      <c r="AI63" s="656"/>
    </row>
    <row r="64" spans="2:35" s="855" customFormat="1">
      <c r="B64" s="851"/>
      <c r="C64" s="852" t="s">
        <v>799</v>
      </c>
      <c r="D64" s="852"/>
      <c r="E64" s="656"/>
      <c r="F64" s="656"/>
      <c r="G64" s="656"/>
      <c r="H64" s="656"/>
      <c r="I64" s="656"/>
      <c r="J64" s="656"/>
      <c r="K64" s="670">
        <f>SUM(K9:K59)/1000</f>
        <v>0</v>
      </c>
      <c r="L64" s="656"/>
      <c r="M64" s="670">
        <f>SUM(M9:M59)/1000</f>
        <v>0</v>
      </c>
      <c r="N64" s="670">
        <f>SUM(N9:N59)/1000</f>
        <v>0</v>
      </c>
      <c r="O64" s="670">
        <f>SUM(O9:O59)/1000</f>
        <v>0</v>
      </c>
      <c r="P64" s="656"/>
      <c r="Q64" s="670">
        <f t="shared" ref="Q64:W64" si="8">SUM(Q9:Q59)/1000</f>
        <v>0</v>
      </c>
      <c r="R64" s="670">
        <f t="shared" si="8"/>
        <v>0</v>
      </c>
      <c r="S64" s="670">
        <f t="shared" si="8"/>
        <v>0</v>
      </c>
      <c r="T64" s="670">
        <f t="shared" si="8"/>
        <v>0</v>
      </c>
      <c r="U64" s="670">
        <f t="shared" si="8"/>
        <v>0</v>
      </c>
      <c r="V64" s="670">
        <f t="shared" si="8"/>
        <v>0</v>
      </c>
      <c r="W64" s="670">
        <f t="shared" si="8"/>
        <v>0</v>
      </c>
      <c r="X64" s="656"/>
      <c r="Y64" s="670">
        <f>SUM(Y9:Y59)/1000</f>
        <v>0</v>
      </c>
      <c r="Z64" s="656"/>
      <c r="AA64" s="670">
        <f>SUM(AA9:AA59)/1000</f>
        <v>0</v>
      </c>
      <c r="AB64" s="670">
        <f>SUM(AB9:AB59)/1000</f>
        <v>0</v>
      </c>
      <c r="AC64" s="656"/>
      <c r="AD64" s="656"/>
      <c r="AE64" s="670">
        <f>SUM(AE9:AE59)/1000</f>
        <v>0</v>
      </c>
      <c r="AF64" s="670">
        <f>SUM(AF9:AF59)/1000</f>
        <v>0</v>
      </c>
      <c r="AG64" s="670">
        <f>SUM(AG9:AG59)/1000</f>
        <v>0</v>
      </c>
      <c r="AH64" s="670">
        <f>SUM(AH9:AH59)/1000</f>
        <v>0</v>
      </c>
      <c r="AI64" s="656"/>
    </row>
    <row r="65" spans="3:35" s="212" customFormat="1"/>
    <row r="66" spans="3:35" ht="18.75">
      <c r="C66" s="875"/>
      <c r="D66" s="875"/>
      <c r="E66" s="875"/>
      <c r="F66" s="875"/>
      <c r="G66" s="875"/>
      <c r="H66" s="875"/>
      <c r="I66" s="876"/>
      <c r="J66" s="877"/>
      <c r="K66" s="878"/>
      <c r="L66" s="877"/>
      <c r="M66" s="878"/>
      <c r="N66" s="878"/>
      <c r="O66" s="878"/>
      <c r="P66" s="879"/>
      <c r="Q66" s="878"/>
      <c r="R66" s="878"/>
      <c r="S66" s="878"/>
      <c r="T66" s="878"/>
      <c r="U66" s="878"/>
      <c r="V66" s="878"/>
      <c r="W66" s="878"/>
      <c r="X66" s="880"/>
      <c r="Y66" s="878"/>
      <c r="Z66" s="878"/>
      <c r="AA66" s="878"/>
      <c r="AB66" s="878"/>
      <c r="AC66" s="827"/>
      <c r="AD66" s="878"/>
      <c r="AE66" s="878"/>
      <c r="AF66" s="878"/>
      <c r="AG66" s="878"/>
      <c r="AH66" s="878"/>
      <c r="AI66" s="878"/>
    </row>
    <row r="67" spans="3:35" ht="13.15" customHeight="1">
      <c r="C67" s="881"/>
      <c r="D67" s="881"/>
      <c r="E67" s="881"/>
      <c r="F67" s="881"/>
      <c r="G67" s="881"/>
      <c r="H67" s="881"/>
      <c r="I67" s="882"/>
      <c r="J67" s="882"/>
      <c r="K67" s="878"/>
      <c r="L67" s="882"/>
      <c r="M67" s="878"/>
      <c r="N67" s="878"/>
      <c r="O67" s="878"/>
      <c r="P67" s="883"/>
      <c r="Q67" s="878"/>
      <c r="R67" s="878"/>
      <c r="S67" s="878"/>
      <c r="T67" s="878"/>
      <c r="U67" s="878"/>
      <c r="V67" s="878"/>
      <c r="W67" s="878"/>
      <c r="X67" s="883"/>
      <c r="Y67" s="878"/>
      <c r="Z67" s="878"/>
      <c r="AA67" s="878"/>
      <c r="AB67" s="878"/>
      <c r="AC67" s="827"/>
      <c r="AD67" s="878"/>
      <c r="AE67" s="878"/>
      <c r="AF67" s="878"/>
      <c r="AG67" s="878"/>
      <c r="AH67" s="878"/>
      <c r="AI67" s="878"/>
    </row>
    <row r="68" spans="3:35" ht="13.15" customHeight="1">
      <c r="C68" s="881"/>
      <c r="D68" s="881"/>
      <c r="E68" s="881"/>
      <c r="F68" s="881"/>
      <c r="G68" s="881"/>
      <c r="H68" s="881"/>
      <c r="I68" s="882"/>
      <c r="J68" s="882"/>
      <c r="K68" s="878"/>
      <c r="L68" s="882"/>
      <c r="M68" s="878"/>
      <c r="N68" s="878"/>
      <c r="O68" s="878"/>
      <c r="P68" s="883"/>
      <c r="Q68" s="878"/>
      <c r="R68" s="878"/>
      <c r="S68" s="878"/>
      <c r="T68" s="878"/>
      <c r="U68" s="878"/>
      <c r="V68" s="878"/>
      <c r="W68" s="878"/>
      <c r="X68" s="883"/>
      <c r="Y68" s="878"/>
      <c r="Z68" s="878"/>
      <c r="AA68" s="878"/>
      <c r="AB68" s="878"/>
      <c r="AC68" s="827"/>
      <c r="AD68" s="878"/>
      <c r="AE68" s="878"/>
      <c r="AF68" s="878"/>
      <c r="AG68" s="878"/>
      <c r="AH68" s="878"/>
      <c r="AI68" s="878"/>
    </row>
    <row r="69" spans="3:35" ht="13.15" customHeight="1">
      <c r="C69" s="881"/>
      <c r="D69" s="881"/>
      <c r="E69" s="881"/>
      <c r="F69" s="881"/>
      <c r="G69" s="881"/>
      <c r="H69" s="881"/>
      <c r="I69" s="882"/>
      <c r="J69" s="882"/>
      <c r="K69" s="878"/>
      <c r="L69" s="882"/>
      <c r="M69" s="878"/>
      <c r="N69" s="878"/>
      <c r="O69" s="878"/>
      <c r="P69" s="883"/>
      <c r="Q69" s="878"/>
      <c r="R69" s="878"/>
      <c r="S69" s="878"/>
      <c r="T69" s="878"/>
      <c r="U69" s="878"/>
      <c r="V69" s="878"/>
      <c r="W69" s="878"/>
      <c r="X69" s="883"/>
      <c r="Y69" s="878"/>
      <c r="Z69" s="878"/>
      <c r="AA69" s="878"/>
      <c r="AB69" s="878"/>
      <c r="AC69" s="827"/>
      <c r="AD69" s="878"/>
      <c r="AE69" s="878"/>
      <c r="AF69" s="878"/>
      <c r="AG69" s="878"/>
      <c r="AH69" s="878"/>
      <c r="AI69" s="878"/>
    </row>
    <row r="70" spans="3:35" ht="18.75">
      <c r="K70" s="878"/>
      <c r="M70" s="878"/>
      <c r="N70" s="878"/>
      <c r="O70" s="878"/>
      <c r="Q70" s="878"/>
      <c r="R70" s="878"/>
      <c r="S70" s="878"/>
      <c r="T70" s="878"/>
      <c r="U70" s="878"/>
      <c r="V70" s="878"/>
      <c r="W70" s="878"/>
      <c r="Y70" s="878"/>
      <c r="Z70" s="878"/>
      <c r="AA70" s="878"/>
      <c r="AB70" s="878"/>
      <c r="AC70" s="827"/>
      <c r="AD70" s="878"/>
      <c r="AE70" s="878"/>
      <c r="AF70" s="878"/>
      <c r="AG70" s="878"/>
      <c r="AH70" s="878"/>
      <c r="AI70" s="878"/>
    </row>
    <row r="72" spans="3:35" ht="15.75">
      <c r="C72" s="858"/>
      <c r="D72" s="858"/>
      <c r="E72" s="858"/>
      <c r="F72" s="858"/>
      <c r="G72" s="858"/>
      <c r="H72" s="858"/>
      <c r="I72" s="859"/>
      <c r="J72" s="860"/>
      <c r="L72" s="861"/>
      <c r="AC72" s="827"/>
    </row>
    <row r="73" spans="3:35" ht="15.75">
      <c r="C73" s="862"/>
      <c r="D73" s="862"/>
      <c r="E73" s="862"/>
      <c r="F73" s="862"/>
      <c r="G73" s="862"/>
      <c r="H73" s="862"/>
      <c r="I73" s="859"/>
      <c r="J73" s="860"/>
      <c r="K73" s="862"/>
      <c r="AC73" s="827"/>
    </row>
    <row r="74" spans="3:35" ht="37.5" customHeight="1">
      <c r="C74" s="863"/>
      <c r="D74" s="863"/>
      <c r="E74" s="863"/>
      <c r="F74" s="863"/>
      <c r="G74" s="863"/>
      <c r="H74" s="863"/>
      <c r="I74" s="863"/>
      <c r="J74" s="863"/>
      <c r="K74" s="863"/>
      <c r="L74" s="864"/>
      <c r="AC74" s="827"/>
    </row>
  </sheetData>
  <sheetProtection formatColumns="0" formatRows="0" insertHyperlinks="0"/>
  <mergeCells count="18">
    <mergeCell ref="Y5:AC5"/>
    <mergeCell ref="AD5:AI5"/>
    <mergeCell ref="K5:K6"/>
    <mergeCell ref="L5:L6"/>
    <mergeCell ref="M5:P5"/>
    <mergeCell ref="Q5:R5"/>
    <mergeCell ref="S5:U5"/>
    <mergeCell ref="V5:X5"/>
    <mergeCell ref="C3:R3"/>
    <mergeCell ref="B5:B7"/>
    <mergeCell ref="C5:C7"/>
    <mergeCell ref="D5:D7"/>
    <mergeCell ref="E5:E7"/>
    <mergeCell ref="F5:F7"/>
    <mergeCell ref="G5:G7"/>
    <mergeCell ref="H5:H7"/>
    <mergeCell ref="I5:I7"/>
    <mergeCell ref="J5:J7"/>
  </mergeCells>
  <dataValidations count="3">
    <dataValidation type="list" allowBlank="1" showInputMessage="1" showErrorMessage="1" sqref="F9:F59">
      <formula1>$AB$1:$AB$4</formula1>
    </dataValidation>
    <dataValidation type="list" allowBlank="1" showInputMessage="1" showErrorMessage="1" sqref="G9:G59">
      <formula1>$Y$1:$Y$4</formula1>
    </dataValidation>
    <dataValidation type="list" allowBlank="1" showInputMessage="1" showErrorMessage="1" sqref="D9:D58">
      <formula1>"1,2,3,4,5,6,7,8,9,10"</formula1>
    </dataValidation>
  </dataValidations>
  <hyperlinks>
    <hyperlink ref="C1" location="'Перечень форм для заполнения'!A1" display="Перечень форм"/>
    <hyperlink ref="B1" location="'Перечень форм для заполнения'!A1" display="Вернуться к перечню форм"/>
    <hyperlink ref="C59" location="'21 (аморт-план)'!A1" display="Добавить"/>
  </hyperlinks>
  <pageMargins left="0.31496062992125984" right="0.31496062992125984" top="0.47244094488188981" bottom="0.43307086614173229" header="0.31496062992125984" footer="0.31496062992125984"/>
  <pageSetup paperSize="8" scale="48" fitToHeight="1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92D050"/>
    <pageSetUpPr fitToPage="1"/>
  </sheetPr>
  <dimension ref="A1:R35"/>
  <sheetViews>
    <sheetView showGridLines="0" zoomScale="85" zoomScaleNormal="85" zoomScaleSheetLayoutView="85" workbookViewId="0">
      <selection activeCell="E8" sqref="E8"/>
    </sheetView>
  </sheetViews>
  <sheetFormatPr defaultColWidth="8.7109375" defaultRowHeight="12.75"/>
  <cols>
    <col min="1" max="1" width="5.42578125" style="233" customWidth="1"/>
    <col min="2" max="2" width="52.7109375" style="233" customWidth="1"/>
    <col min="3" max="3" width="19.7109375" style="233" customWidth="1"/>
    <col min="4" max="4" width="28.28515625" style="233" customWidth="1"/>
    <col min="5" max="5" width="20.140625" style="233" customWidth="1"/>
    <col min="6" max="6" width="20.7109375" style="233" customWidth="1"/>
    <col min="7" max="7" width="11.140625" style="233" customWidth="1"/>
    <col min="8" max="8" width="10.42578125" style="233" customWidth="1"/>
    <col min="9" max="9" width="11.28515625" style="233" customWidth="1"/>
    <col min="10" max="10" width="10.5703125" style="233" customWidth="1"/>
    <col min="11" max="11" width="12.140625" style="233" customWidth="1"/>
    <col min="12" max="12" width="9.5703125" style="233" customWidth="1"/>
    <col min="13" max="13" width="9.85546875" style="233" customWidth="1"/>
    <col min="14" max="14" width="8.85546875" style="233" customWidth="1"/>
    <col min="15" max="15" width="14.7109375" style="233" hidden="1" customWidth="1"/>
    <col min="16" max="16" width="12" style="233" hidden="1" customWidth="1"/>
    <col min="17" max="17" width="13.140625" style="233" hidden="1" customWidth="1"/>
    <col min="18" max="18" width="14.42578125" style="233" hidden="1" customWidth="1"/>
    <col min="19" max="16384" width="8.7109375" style="233"/>
  </cols>
  <sheetData>
    <row r="1" spans="1:16" ht="17.25" customHeight="1">
      <c r="A1" s="210" t="s">
        <v>210</v>
      </c>
      <c r="C1" s="212"/>
      <c r="D1" s="212"/>
      <c r="E1" s="212"/>
      <c r="F1" s="505" t="s">
        <v>813</v>
      </c>
      <c r="G1" s="212"/>
    </row>
    <row r="2" spans="1:16" ht="20.25" customHeight="1">
      <c r="B2"/>
      <c r="C2" s="212"/>
      <c r="D2" s="212"/>
      <c r="E2" s="212"/>
      <c r="F2" s="212"/>
      <c r="G2" s="212"/>
    </row>
    <row r="4" spans="1:16" ht="19.5">
      <c r="A4" s="2433" t="s">
        <v>814</v>
      </c>
      <c r="B4" s="2433"/>
      <c r="C4" s="2433"/>
      <c r="D4" s="2433"/>
      <c r="E4" s="2433"/>
      <c r="F4" s="2433"/>
      <c r="G4" s="884"/>
      <c r="H4" s="884"/>
      <c r="I4" s="884"/>
      <c r="J4" s="884"/>
      <c r="K4" s="884"/>
      <c r="L4" s="884"/>
      <c r="M4" s="884"/>
      <c r="N4" s="884"/>
      <c r="O4" s="885"/>
      <c r="P4" s="885"/>
    </row>
    <row r="5" spans="1:16" ht="19.5">
      <c r="A5" s="509"/>
      <c r="B5" s="509"/>
      <c r="C5" s="509"/>
      <c r="D5" s="509"/>
      <c r="E5" s="509"/>
      <c r="F5" s="509"/>
      <c r="G5" s="509"/>
      <c r="H5" s="509"/>
      <c r="I5" s="509"/>
      <c r="J5" s="509"/>
      <c r="K5" s="509"/>
      <c r="L5" s="509"/>
      <c r="M5" s="509"/>
      <c r="N5" s="509"/>
      <c r="O5" s="885"/>
      <c r="P5" s="885"/>
    </row>
    <row r="6" spans="1:16" ht="19.5">
      <c r="A6" s="509"/>
      <c r="B6" s="509"/>
      <c r="C6" s="509"/>
      <c r="D6" s="509"/>
      <c r="E6" s="509"/>
      <c r="F6" s="886" t="s">
        <v>226</v>
      </c>
      <c r="G6" s="509"/>
      <c r="H6" s="509"/>
      <c r="I6" s="509"/>
      <c r="J6" s="509"/>
      <c r="K6" s="509"/>
      <c r="L6" s="509"/>
      <c r="M6" s="509"/>
      <c r="N6" s="509"/>
      <c r="O6" s="885"/>
      <c r="P6" s="885"/>
    </row>
    <row r="7" spans="1:16" ht="25.5">
      <c r="A7" s="887" t="s">
        <v>815</v>
      </c>
      <c r="B7" s="887" t="s">
        <v>219</v>
      </c>
      <c r="C7" s="887" t="str">
        <f>'0. Анкета'!C15-2&amp;",  утверждено"</f>
        <v>2022,  утверждено</v>
      </c>
      <c r="D7" s="887" t="str">
        <f>'0. Анкета'!C15-2&amp;", факт (отражен в отчете об исполнении сметы расходов)"</f>
        <v>2022, факт (отражен в отчете об исполнении сметы расходов)</v>
      </c>
      <c r="E7" s="887" t="str">
        <f>'0. Анкета'!C15-1&amp;",  утверждено"</f>
        <v>2023,  утверждено</v>
      </c>
      <c r="F7" s="887" t="str">
        <f>'0. Анкета'!C15&amp;",  предложение"</f>
        <v>2024,  предложение</v>
      </c>
      <c r="G7" s="481"/>
      <c r="H7" s="888"/>
      <c r="I7" s="509"/>
      <c r="J7" s="509"/>
      <c r="K7" s="509"/>
      <c r="L7" s="509"/>
      <c r="M7" s="509"/>
      <c r="N7" s="509"/>
      <c r="O7" s="885"/>
      <c r="P7" s="885"/>
    </row>
    <row r="8" spans="1:16" s="212" customFormat="1">
      <c r="A8" s="889">
        <v>1</v>
      </c>
      <c r="B8" s="890">
        <v>2</v>
      </c>
      <c r="C8" s="890">
        <v>3</v>
      </c>
      <c r="D8" s="890">
        <v>4</v>
      </c>
      <c r="E8" s="890">
        <v>5</v>
      </c>
      <c r="F8" s="890">
        <v>6</v>
      </c>
      <c r="G8" s="891"/>
      <c r="H8" s="233"/>
      <c r="I8" s="891"/>
      <c r="J8" s="891"/>
      <c r="K8" s="891"/>
      <c r="L8" s="891"/>
    </row>
    <row r="9" spans="1:16" ht="39" customHeight="1">
      <c r="A9" s="892" t="s">
        <v>111</v>
      </c>
      <c r="B9" s="893" t="s">
        <v>816</v>
      </c>
      <c r="C9" s="416"/>
      <c r="D9" s="411">
        <f>'20 (аморт-отч пер)'!M64</f>
        <v>0</v>
      </c>
      <c r="E9" s="416"/>
      <c r="F9" s="411">
        <f>'21 (аморт-план)'!M64</f>
        <v>0</v>
      </c>
      <c r="G9" s="481"/>
      <c r="H9" s="588"/>
      <c r="I9" s="509"/>
      <c r="J9" s="509"/>
      <c r="K9" s="509"/>
      <c r="L9" s="509"/>
      <c r="M9" s="509"/>
      <c r="N9" s="509"/>
      <c r="O9" s="885"/>
      <c r="P9" s="885"/>
    </row>
    <row r="10" spans="1:16" ht="19.5">
      <c r="A10" s="892" t="s">
        <v>113</v>
      </c>
      <c r="B10" s="893" t="s">
        <v>817</v>
      </c>
      <c r="C10" s="416"/>
      <c r="D10" s="411">
        <f>'20 (аморт-отч пер)'!Q64</f>
        <v>0</v>
      </c>
      <c r="E10" s="416"/>
      <c r="F10" s="411">
        <f>'21 (аморт-план)'!Q64</f>
        <v>0</v>
      </c>
      <c r="G10" s="481"/>
      <c r="H10" s="481"/>
      <c r="I10" s="509"/>
      <c r="J10" s="509"/>
      <c r="K10" s="509"/>
      <c r="L10" s="509"/>
      <c r="M10" s="509"/>
      <c r="N10" s="509"/>
      <c r="O10" s="885"/>
      <c r="P10" s="885"/>
    </row>
    <row r="11" spans="1:16" ht="19.5">
      <c r="A11" s="892" t="s">
        <v>818</v>
      </c>
      <c r="B11" s="893" t="s">
        <v>819</v>
      </c>
      <c r="C11" s="416"/>
      <c r="D11" s="411">
        <f>'20 (аморт-отч пер)'!R64</f>
        <v>0</v>
      </c>
      <c r="E11" s="416"/>
      <c r="F11" s="411">
        <f>'21 (аморт-план)'!R64</f>
        <v>0</v>
      </c>
      <c r="G11" s="481"/>
      <c r="H11" s="481"/>
      <c r="I11" s="509"/>
      <c r="J11" s="509"/>
      <c r="K11" s="509"/>
      <c r="L11" s="509"/>
      <c r="M11" s="509"/>
      <c r="N11" s="509"/>
      <c r="O11" s="885"/>
      <c r="P11" s="885"/>
    </row>
    <row r="12" spans="1:16" ht="25.5">
      <c r="A12" s="892" t="s">
        <v>820</v>
      </c>
      <c r="B12" s="893" t="s">
        <v>821</v>
      </c>
      <c r="C12" s="416"/>
      <c r="D12" s="411">
        <f>'20 (аморт-отч пер)'!AD64</f>
        <v>0</v>
      </c>
      <c r="E12" s="416"/>
      <c r="F12" s="411">
        <f>'21 (аморт-план)'!AB64</f>
        <v>0</v>
      </c>
      <c r="G12" s="481"/>
      <c r="H12" s="481"/>
      <c r="I12" s="509"/>
      <c r="J12" s="509"/>
      <c r="K12" s="509"/>
      <c r="L12" s="509"/>
      <c r="M12" s="509"/>
      <c r="N12" s="509"/>
      <c r="O12" s="885"/>
      <c r="P12" s="885"/>
    </row>
    <row r="13" spans="1:16" ht="19.5">
      <c r="A13" s="892" t="s">
        <v>822</v>
      </c>
      <c r="B13" s="893" t="s">
        <v>823</v>
      </c>
      <c r="C13" s="894"/>
      <c r="D13" s="895">
        <f>IFERROR(D14/D12,0)</f>
        <v>0</v>
      </c>
      <c r="E13" s="894"/>
      <c r="F13" s="895">
        <f>IFERROR(F14/F12,0)</f>
        <v>0</v>
      </c>
      <c r="G13" s="481"/>
      <c r="H13" s="481"/>
      <c r="I13" s="481"/>
      <c r="J13" s="509"/>
      <c r="K13" s="509"/>
      <c r="L13" s="509"/>
      <c r="M13" s="509"/>
      <c r="N13" s="509"/>
      <c r="O13" s="885"/>
      <c r="P13" s="885"/>
    </row>
    <row r="14" spans="1:16" ht="19.5">
      <c r="A14" s="892" t="s">
        <v>824</v>
      </c>
      <c r="B14" s="896" t="s">
        <v>825</v>
      </c>
      <c r="C14" s="897">
        <f>'20 (аморт-отч пер)'!S64</f>
        <v>0</v>
      </c>
      <c r="D14" s="897">
        <f>'20 (аморт-отч пер)'!X64</f>
        <v>0</v>
      </c>
      <c r="E14" s="404">
        <f>'20 (аморт-отч пер)'!AI64</f>
        <v>0</v>
      </c>
      <c r="F14" s="404">
        <f>'21 (аморт-план)'!U64</f>
        <v>0</v>
      </c>
      <c r="G14" s="898"/>
      <c r="H14" s="481"/>
      <c r="I14" s="481"/>
      <c r="J14" s="509"/>
      <c r="K14" s="509"/>
      <c r="L14" s="509"/>
      <c r="M14" s="509"/>
      <c r="N14" s="509"/>
      <c r="O14" s="885"/>
      <c r="P14" s="885"/>
    </row>
    <row r="15" spans="1:16" ht="19.5">
      <c r="A15" s="899"/>
      <c r="B15" s="899"/>
      <c r="C15" s="899"/>
      <c r="D15" s="899"/>
      <c r="E15" s="899"/>
      <c r="F15" s="899"/>
      <c r="H15" s="900"/>
      <c r="I15" s="900"/>
      <c r="J15" s="900"/>
      <c r="K15" s="899"/>
      <c r="L15" s="899"/>
      <c r="M15" s="899"/>
      <c r="N15" s="899"/>
      <c r="O15" s="885"/>
      <c r="P15" s="885"/>
    </row>
    <row r="16" spans="1:16" ht="19.5">
      <c r="A16" s="899"/>
      <c r="B16" s="899"/>
      <c r="C16" s="899"/>
      <c r="D16" s="899"/>
      <c r="E16" s="899"/>
      <c r="F16" s="899"/>
      <c r="G16" s="899"/>
      <c r="H16" s="899"/>
      <c r="I16" s="899"/>
      <c r="J16" s="899"/>
      <c r="K16" s="899"/>
      <c r="L16" s="899"/>
      <c r="M16" s="899"/>
      <c r="N16" s="899"/>
      <c r="O16" s="885"/>
      <c r="P16" s="885"/>
    </row>
    <row r="17" spans="1:16" ht="19.5">
      <c r="A17" s="899"/>
      <c r="B17" s="901" t="s">
        <v>2217</v>
      </c>
      <c r="C17" s="899"/>
      <c r="D17" s="899"/>
      <c r="E17" s="902"/>
      <c r="F17" s="899"/>
      <c r="G17" s="899"/>
      <c r="H17" s="899"/>
      <c r="I17" s="899"/>
      <c r="J17" s="899"/>
      <c r="K17" s="899"/>
      <c r="L17" s="899"/>
      <c r="M17" s="899"/>
      <c r="N17" s="899"/>
      <c r="O17" s="885"/>
      <c r="P17" s="885"/>
    </row>
    <row r="18" spans="1:16" ht="19.5">
      <c r="A18" s="899"/>
      <c r="B18" s="899"/>
      <c r="C18" s="899"/>
      <c r="D18" s="899"/>
      <c r="E18" s="899"/>
      <c r="F18" s="899"/>
      <c r="G18" s="899"/>
      <c r="H18" s="899"/>
      <c r="I18" s="899"/>
      <c r="J18" s="899"/>
      <c r="K18" s="899"/>
      <c r="L18" s="899"/>
      <c r="M18" s="899"/>
      <c r="N18" s="899"/>
      <c r="O18" s="885"/>
      <c r="P18" s="885"/>
    </row>
    <row r="19" spans="1:16" ht="19.5">
      <c r="A19" s="903"/>
      <c r="B19" s="2434"/>
      <c r="C19" s="2435"/>
      <c r="D19" s="224"/>
      <c r="E19" s="904"/>
      <c r="F19" s="899"/>
      <c r="G19" s="899"/>
      <c r="H19" s="899"/>
      <c r="I19" s="899"/>
      <c r="J19" s="899"/>
      <c r="K19" s="899"/>
      <c r="L19" s="899"/>
      <c r="M19" s="899"/>
      <c r="N19" s="899"/>
      <c r="O19" s="885"/>
      <c r="P19" s="885"/>
    </row>
    <row r="20" spans="1:16" ht="31.7" customHeight="1">
      <c r="A20" s="903"/>
      <c r="B20" s="2436"/>
      <c r="C20" s="2437"/>
      <c r="D20" s="224"/>
      <c r="E20" s="904"/>
      <c r="F20" s="899"/>
      <c r="G20" s="899"/>
      <c r="H20" s="899"/>
      <c r="I20" s="899"/>
      <c r="J20" s="899"/>
      <c r="K20" s="899"/>
      <c r="L20" s="899"/>
      <c r="M20" s="899"/>
      <c r="N20" s="899"/>
      <c r="O20" s="885"/>
      <c r="P20" s="885"/>
    </row>
    <row r="21" spans="1:16" ht="19.5">
      <c r="A21" s="903"/>
      <c r="B21" s="2438"/>
      <c r="C21" s="2438"/>
      <c r="D21" s="2438"/>
      <c r="E21" s="2438"/>
      <c r="F21" s="899"/>
      <c r="G21" s="899"/>
      <c r="H21" s="899"/>
      <c r="I21" s="899"/>
      <c r="J21" s="899"/>
      <c r="K21" s="899"/>
      <c r="L21" s="899"/>
      <c r="M21" s="899"/>
      <c r="N21" s="899"/>
      <c r="O21" s="885"/>
      <c r="P21" s="885"/>
    </row>
    <row r="22" spans="1:16" ht="19.5">
      <c r="A22" s="899"/>
      <c r="B22" s="899"/>
      <c r="C22" s="899"/>
      <c r="D22" s="899"/>
      <c r="E22" s="899"/>
      <c r="F22" s="899"/>
      <c r="G22" s="899"/>
      <c r="H22" s="899"/>
      <c r="I22" s="899"/>
      <c r="J22" s="899"/>
      <c r="K22" s="899"/>
      <c r="L22" s="899"/>
      <c r="M22" s="899"/>
      <c r="N22" s="899"/>
      <c r="O22" s="885"/>
      <c r="P22" s="885"/>
    </row>
    <row r="23" spans="1:16" ht="19.5">
      <c r="A23" s="899"/>
      <c r="B23" s="899"/>
      <c r="C23" s="899"/>
      <c r="D23" s="899"/>
      <c r="E23" s="899"/>
      <c r="F23" s="899"/>
      <c r="G23" s="899"/>
      <c r="H23" s="899"/>
      <c r="I23" s="899"/>
      <c r="J23" s="899"/>
      <c r="K23" s="899"/>
      <c r="L23" s="899"/>
      <c r="M23" s="899"/>
      <c r="N23" s="899"/>
      <c r="O23" s="885"/>
      <c r="P23" s="885"/>
    </row>
    <row r="24" spans="1:16" ht="19.5">
      <c r="A24" s="899"/>
      <c r="B24" s="899"/>
      <c r="C24" s="899"/>
      <c r="D24" s="899"/>
      <c r="E24" s="899"/>
      <c r="F24" s="899"/>
      <c r="G24" s="899"/>
      <c r="H24" s="899"/>
      <c r="I24" s="899"/>
      <c r="J24" s="899"/>
      <c r="K24" s="899"/>
      <c r="L24" s="899"/>
      <c r="M24" s="899"/>
      <c r="N24" s="899"/>
      <c r="O24" s="885"/>
      <c r="P24" s="885"/>
    </row>
    <row r="25" spans="1:16" ht="19.5">
      <c r="A25" s="899"/>
      <c r="B25" s="899"/>
      <c r="C25" s="899"/>
      <c r="D25" s="899"/>
      <c r="E25" s="899"/>
      <c r="F25" s="899"/>
      <c r="G25" s="899"/>
      <c r="H25" s="899"/>
      <c r="I25" s="899"/>
      <c r="J25" s="899"/>
      <c r="K25" s="899"/>
      <c r="L25" s="899"/>
      <c r="M25" s="899"/>
      <c r="N25" s="899"/>
      <c r="O25" s="885"/>
      <c r="P25" s="885"/>
    </row>
    <row r="26" spans="1:16" ht="19.5">
      <c r="A26" s="899"/>
      <c r="B26" s="899"/>
      <c r="C26" s="899"/>
      <c r="D26" s="899"/>
      <c r="E26" s="899"/>
      <c r="F26" s="899"/>
      <c r="G26" s="899"/>
      <c r="H26" s="899"/>
      <c r="I26" s="899"/>
      <c r="J26" s="899"/>
      <c r="K26" s="899"/>
      <c r="L26" s="899"/>
      <c r="M26" s="899"/>
      <c r="N26" s="899"/>
      <c r="O26" s="885"/>
      <c r="P26" s="885"/>
    </row>
    <row r="27" spans="1:16" ht="19.5">
      <c r="A27" s="899"/>
      <c r="B27" s="899"/>
      <c r="C27" s="899"/>
      <c r="D27" s="899"/>
      <c r="E27" s="899"/>
      <c r="F27" s="899"/>
      <c r="G27" s="899"/>
      <c r="H27" s="899"/>
      <c r="I27" s="899"/>
      <c r="J27" s="899"/>
      <c r="K27" s="899"/>
      <c r="L27" s="899"/>
      <c r="M27" s="899"/>
      <c r="N27" s="899"/>
      <c r="O27" s="885"/>
      <c r="P27" s="885"/>
    </row>
    <row r="28" spans="1:16" ht="19.5">
      <c r="A28" s="899"/>
      <c r="B28" s="899"/>
      <c r="C28" s="899"/>
      <c r="D28" s="899"/>
      <c r="E28" s="899"/>
      <c r="F28" s="899"/>
      <c r="G28" s="899"/>
      <c r="H28" s="899"/>
      <c r="I28" s="899"/>
      <c r="J28" s="899"/>
      <c r="K28" s="899"/>
      <c r="L28" s="899"/>
      <c r="M28" s="899"/>
      <c r="N28" s="899"/>
      <c r="O28" s="885"/>
      <c r="P28" s="885"/>
    </row>
    <row r="29" spans="1:16" ht="19.5">
      <c r="A29" s="899"/>
      <c r="B29" s="899"/>
      <c r="C29" s="899"/>
      <c r="D29" s="899"/>
      <c r="E29" s="899"/>
      <c r="F29" s="899"/>
      <c r="G29" s="899"/>
      <c r="H29" s="899"/>
      <c r="I29" s="899"/>
      <c r="J29" s="899"/>
      <c r="K29" s="899"/>
      <c r="L29" s="899"/>
      <c r="M29" s="899"/>
      <c r="N29" s="899"/>
      <c r="O29" s="885"/>
      <c r="P29" s="885"/>
    </row>
    <row r="30" spans="1:16" ht="19.5">
      <c r="A30" s="899"/>
      <c r="B30" s="899"/>
      <c r="C30" s="899"/>
      <c r="D30" s="899"/>
      <c r="E30" s="899"/>
      <c r="F30" s="899"/>
      <c r="G30" s="899"/>
      <c r="H30" s="899"/>
      <c r="I30" s="899"/>
      <c r="J30" s="899"/>
      <c r="K30" s="899"/>
      <c r="L30" s="899"/>
      <c r="M30" s="899"/>
      <c r="N30" s="899"/>
      <c r="O30" s="885"/>
      <c r="P30" s="885"/>
    </row>
    <row r="31" spans="1:16" ht="19.5">
      <c r="A31" s="899"/>
      <c r="B31" s="899"/>
      <c r="C31" s="899"/>
      <c r="D31" s="899"/>
      <c r="E31" s="899"/>
      <c r="F31" s="899"/>
      <c r="G31" s="899"/>
      <c r="H31" s="899"/>
      <c r="I31" s="899"/>
      <c r="J31" s="899"/>
      <c r="K31" s="899"/>
      <c r="L31" s="899"/>
      <c r="M31" s="899"/>
      <c r="N31" s="899"/>
      <c r="O31" s="885"/>
      <c r="P31" s="885"/>
    </row>
    <row r="32" spans="1:16" s="908" customFormat="1" ht="15">
      <c r="A32" s="905"/>
      <c r="B32" s="906"/>
      <c r="C32" s="906"/>
      <c r="D32" s="906"/>
      <c r="E32" s="907"/>
      <c r="F32" s="905"/>
      <c r="G32" s="905"/>
      <c r="H32" s="905"/>
      <c r="I32" s="905"/>
      <c r="J32" s="905"/>
      <c r="K32" s="905"/>
      <c r="L32" s="905"/>
      <c r="M32" s="905"/>
      <c r="N32" s="905"/>
      <c r="O32" s="905"/>
      <c r="P32" s="905"/>
    </row>
    <row r="33" spans="1:16" s="910" customFormat="1" ht="35.25" customHeight="1">
      <c r="A33" s="909"/>
      <c r="B33" s="2326"/>
      <c r="C33" s="2326"/>
      <c r="D33" s="2326"/>
      <c r="E33" s="2326"/>
      <c r="F33" s="909"/>
      <c r="G33" s="909"/>
      <c r="H33" s="909"/>
      <c r="I33" s="909"/>
      <c r="J33" s="909"/>
      <c r="K33" s="909"/>
      <c r="L33" s="909"/>
      <c r="M33" s="909"/>
      <c r="N33" s="909"/>
      <c r="O33" s="909"/>
      <c r="P33" s="909"/>
    </row>
    <row r="34" spans="1:16" s="910" customFormat="1" ht="15">
      <c r="A34" s="909"/>
      <c r="B34" s="483"/>
      <c r="C34" s="483"/>
      <c r="D34" s="483"/>
      <c r="E34" s="483"/>
      <c r="F34" s="909"/>
      <c r="G34" s="909"/>
      <c r="H34" s="909"/>
      <c r="I34" s="909"/>
      <c r="J34" s="909"/>
      <c r="K34" s="909"/>
      <c r="L34" s="909"/>
      <c r="M34" s="909"/>
      <c r="N34" s="909"/>
      <c r="O34" s="909"/>
      <c r="P34" s="909"/>
    </row>
    <row r="35" spans="1:16" s="910" customFormat="1" ht="33" customHeight="1">
      <c r="A35" s="909"/>
      <c r="B35" s="2326"/>
      <c r="C35" s="2326"/>
      <c r="D35" s="2326"/>
      <c r="E35" s="2326"/>
      <c r="F35" s="909"/>
      <c r="G35" s="909"/>
      <c r="H35" s="909"/>
      <c r="I35" s="909"/>
      <c r="J35" s="909"/>
      <c r="K35" s="909"/>
      <c r="L35" s="909"/>
      <c r="M35" s="909"/>
      <c r="N35" s="909"/>
      <c r="O35" s="909"/>
      <c r="P35" s="909"/>
    </row>
  </sheetData>
  <sheetProtection formatColumns="0" formatRows="0" insertHyperlinks="0"/>
  <mergeCells count="6">
    <mergeCell ref="B35:E35"/>
    <mergeCell ref="A4:F4"/>
    <mergeCell ref="B19:C19"/>
    <mergeCell ref="B20:C20"/>
    <mergeCell ref="B21:E21"/>
    <mergeCell ref="B33:E33"/>
  </mergeCells>
  <hyperlinks>
    <hyperlink ref="A1" location="'Перечень форм для заполнения'!A1" display="Вернуться к перечню форм"/>
  </hyperlinks>
  <pageMargins left="0.70866141732283472" right="0.70866141732283472" top="0.74803149606299213" bottom="0.74803149606299213" header="0.31496062992125984" footer="0.31496062992125984"/>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92D050"/>
    <pageSetUpPr fitToPage="1"/>
  </sheetPr>
  <dimension ref="A1:I32"/>
  <sheetViews>
    <sheetView showGridLines="0" zoomScaleSheetLayoutView="100" workbookViewId="0">
      <selection activeCell="A4" sqref="A4:H4"/>
    </sheetView>
  </sheetViews>
  <sheetFormatPr defaultColWidth="8.7109375" defaultRowHeight="12.75"/>
  <cols>
    <col min="1" max="1" width="5.85546875" style="233" customWidth="1"/>
    <col min="2" max="2" width="25.140625" style="233" customWidth="1"/>
    <col min="3" max="3" width="15.5703125" style="233" customWidth="1"/>
    <col min="4" max="4" width="18.5703125" style="233" customWidth="1"/>
    <col min="5" max="5" width="19.140625" style="233" customWidth="1"/>
    <col min="6" max="6" width="15.42578125" style="233" customWidth="1"/>
    <col min="7" max="7" width="14.85546875" style="233" customWidth="1"/>
    <col min="8" max="8" width="15" style="233" customWidth="1"/>
    <col min="9" max="9" width="9.140625" style="233" bestFit="1" customWidth="1"/>
    <col min="10" max="16384" width="8.7109375" style="233"/>
  </cols>
  <sheetData>
    <row r="1" spans="1:9">
      <c r="A1" s="210" t="s">
        <v>210</v>
      </c>
      <c r="B1" s="481"/>
      <c r="C1" s="481"/>
      <c r="D1" s="481"/>
      <c r="E1" s="481"/>
      <c r="F1" s="481"/>
      <c r="G1" s="481"/>
      <c r="H1" s="505" t="s">
        <v>826</v>
      </c>
    </row>
    <row r="2" spans="1:9">
      <c r="A2" s="213"/>
      <c r="B2" s="911"/>
      <c r="C2" s="213"/>
      <c r="D2" s="213"/>
      <c r="E2" s="213"/>
      <c r="F2" s="213"/>
      <c r="G2" s="213"/>
      <c r="H2" s="912"/>
    </row>
    <row r="3" spans="1:9">
      <c r="A3" s="213"/>
      <c r="B3" s="213"/>
      <c r="C3" s="213"/>
      <c r="D3" s="213"/>
      <c r="E3" s="213"/>
      <c r="F3" s="213"/>
      <c r="G3" s="213"/>
      <c r="H3" s="912"/>
    </row>
    <row r="4" spans="1:9" ht="53.1" customHeight="1">
      <c r="A4" s="2433" t="str">
        <f>"Расчет среднегодовой стоимости основных производственных фондов по линиям электропередач и подстанциям на "&amp;'0. Анкета'!C15&amp;" год"</f>
        <v>Расчет среднегодовой стоимости основных производственных фондов по линиям электропередач и подстанциям на 2024 год</v>
      </c>
      <c r="B4" s="2433"/>
      <c r="C4" s="2433"/>
      <c r="D4" s="2433"/>
      <c r="E4" s="2433"/>
      <c r="F4" s="2433"/>
      <c r="G4" s="2433"/>
      <c r="H4" s="2433"/>
    </row>
    <row r="5" spans="1:9">
      <c r="A5" s="218"/>
      <c r="B5" s="218"/>
      <c r="C5" s="218"/>
      <c r="D5" s="218"/>
      <c r="E5" s="218"/>
      <c r="F5" s="218"/>
      <c r="G5" s="218"/>
      <c r="H5" s="913" t="s">
        <v>578</v>
      </c>
    </row>
    <row r="6" spans="1:9" ht="48">
      <c r="A6" s="589" t="s">
        <v>827</v>
      </c>
      <c r="B6" s="589" t="s">
        <v>828</v>
      </c>
      <c r="C6" s="589" t="s">
        <v>829</v>
      </c>
      <c r="D6" s="589" t="s">
        <v>817</v>
      </c>
      <c r="E6" s="589" t="s">
        <v>819</v>
      </c>
      <c r="F6" s="589" t="s">
        <v>830</v>
      </c>
      <c r="G6" s="589" t="s">
        <v>831</v>
      </c>
      <c r="H6" s="589" t="s">
        <v>378</v>
      </c>
    </row>
    <row r="7" spans="1:9">
      <c r="A7" s="589" t="s">
        <v>111</v>
      </c>
      <c r="B7" s="589" t="s">
        <v>113</v>
      </c>
      <c r="C7" s="589" t="s">
        <v>818</v>
      </c>
      <c r="D7" s="589" t="s">
        <v>820</v>
      </c>
      <c r="E7" s="589" t="s">
        <v>822</v>
      </c>
      <c r="F7" s="589" t="s">
        <v>824</v>
      </c>
      <c r="G7" s="589" t="s">
        <v>832</v>
      </c>
      <c r="H7" s="589" t="s">
        <v>833</v>
      </c>
    </row>
    <row r="8" spans="1:9">
      <c r="A8" s="914" t="s">
        <v>111</v>
      </c>
      <c r="B8" s="914" t="s">
        <v>834</v>
      </c>
      <c r="C8" s="915">
        <f t="shared" ref="C8:H8" si="0">C9+C14</f>
        <v>0</v>
      </c>
      <c r="D8" s="915">
        <f t="shared" si="0"/>
        <v>0</v>
      </c>
      <c r="E8" s="915">
        <f t="shared" si="0"/>
        <v>0</v>
      </c>
      <c r="F8" s="915">
        <f t="shared" si="0"/>
        <v>0</v>
      </c>
      <c r="G8" s="915">
        <f t="shared" si="0"/>
        <v>0</v>
      </c>
      <c r="H8" s="915">
        <f t="shared" si="0"/>
        <v>0</v>
      </c>
    </row>
    <row r="9" spans="1:9">
      <c r="A9" s="914"/>
      <c r="B9" s="914" t="s">
        <v>102</v>
      </c>
      <c r="C9" s="915">
        <f t="shared" ref="C9:H9" si="1">SUM(C10:C13)</f>
        <v>0</v>
      </c>
      <c r="D9" s="915">
        <f t="shared" si="1"/>
        <v>0</v>
      </c>
      <c r="E9" s="915">
        <f t="shared" si="1"/>
        <v>0</v>
      </c>
      <c r="F9" s="915">
        <f t="shared" si="1"/>
        <v>0</v>
      </c>
      <c r="G9" s="915">
        <f t="shared" si="1"/>
        <v>0</v>
      </c>
      <c r="H9" s="915">
        <f t="shared" si="1"/>
        <v>0</v>
      </c>
    </row>
    <row r="10" spans="1:9">
      <c r="A10" s="914"/>
      <c r="B10" s="916" t="s">
        <v>168</v>
      </c>
      <c r="C10" s="917">
        <f>SUMIFS('21 (аморт-план)'!$M$9:$M$59,'21 (аморт-план)'!$G$9:$G$59,'23 (свод средн стоим ОС)'!$B10,'21 (аморт-план)'!$F$9:$F$59,'23 (свод средн стоим ОС)'!$B$9)</f>
        <v>0</v>
      </c>
      <c r="D10" s="917">
        <f>SUMIFS('21 (аморт-план)'!$Q$9:$Q$59,'21 (аморт-план)'!$G$9:$G$59,'23 (свод средн стоим ОС)'!$B10,'21 (аморт-план)'!$F$9:$F$59,'23 (свод средн стоим ОС)'!$B$9)</f>
        <v>0</v>
      </c>
      <c r="E10" s="917">
        <f>SUMIFS('21 (аморт-план)'!$R$9:$R$59,'21 (аморт-план)'!$G$9:$G$59,'23 (свод средн стоим ОС)'!$B10,'21 (аморт-план)'!$F$9:$F$59,'23 (свод средн стоим ОС)'!$B$9)</f>
        <v>0</v>
      </c>
      <c r="F10" s="915">
        <f>C10+D10-E10</f>
        <v>0</v>
      </c>
      <c r="G10" s="915">
        <f>SUMIFS('21 (аморт-план)'!$AB$9:$AB$59,'21 (аморт-план)'!$G$9:$G$59,'23 (свод средн стоим ОС)'!$B10,'21 (аморт-план)'!$F$9:$F$59,'23 (свод средн стоим ОС)'!$B$9)</f>
        <v>0</v>
      </c>
      <c r="H10" s="917">
        <f>SUMIFS('21 (аморт-план)'!$U$9:$U$59,'21 (аморт-план)'!$G$9:$G$59,'23 (свод средн стоим ОС)'!$B10,'21 (аморт-план)'!$F$9:$F$59,'23 (свод средн стоим ОС)'!$B$9)</f>
        <v>0</v>
      </c>
    </row>
    <row r="11" spans="1:9">
      <c r="A11" s="914"/>
      <c r="B11" s="916" t="s">
        <v>208</v>
      </c>
      <c r="C11" s="917">
        <f>SUMIFS('21 (аморт-план)'!$M$9:$M$59,'21 (аморт-план)'!$G$9:$G$59,'23 (свод средн стоим ОС)'!$B11,'21 (аморт-план)'!$F$9:$F$59,'23 (свод средн стоим ОС)'!$B$9)</f>
        <v>0</v>
      </c>
      <c r="D11" s="917">
        <f>SUMIFS('21 (аморт-план)'!$Q$9:$Q$59,'21 (аморт-план)'!$G$9:$G$59,'23 (свод средн стоим ОС)'!$B11,'21 (аморт-план)'!$F$9:$F$59,'23 (свод средн стоим ОС)'!$B$9)</f>
        <v>0</v>
      </c>
      <c r="E11" s="917">
        <f>SUMIFS('21 (аморт-план)'!$R$9:$R$59,'21 (аморт-план)'!$G$9:$G$59,'23 (свод средн стоим ОС)'!$B11,'21 (аморт-план)'!$F$9:$F$59,'23 (свод средн стоим ОС)'!$B$9)</f>
        <v>0</v>
      </c>
      <c r="F11" s="915">
        <f>C11+D11-E11</f>
        <v>0</v>
      </c>
      <c r="G11" s="915">
        <f>SUMIFS('21 (аморт-план)'!$AB$9:$AB$59,'21 (аморт-план)'!$G$9:$G$59,'23 (свод средн стоим ОС)'!$B11,'21 (аморт-план)'!$F$9:$F$59,'23 (свод средн стоим ОС)'!$B$9)</f>
        <v>0</v>
      </c>
      <c r="H11" s="917">
        <f>SUMIFS('21 (аморт-план)'!$U$9:$U$59,'21 (аморт-план)'!$G$9:$G$59,'23 (свод средн стоим ОС)'!$B11,'21 (аморт-план)'!$F$9:$F$59,'23 (свод средн стоим ОС)'!$B$9)</f>
        <v>0</v>
      </c>
    </row>
    <row r="12" spans="1:9">
      <c r="A12" s="914"/>
      <c r="B12" s="916" t="s">
        <v>209</v>
      </c>
      <c r="C12" s="917">
        <f>SUMIFS('21 (аморт-план)'!$M$9:$M$59,'21 (аморт-план)'!$G$9:$G$59,'23 (свод средн стоим ОС)'!$B12,'21 (аморт-план)'!$F$9:$F$59,'23 (свод средн стоим ОС)'!$B$9)</f>
        <v>0</v>
      </c>
      <c r="D12" s="917">
        <f>SUMIFS('21 (аморт-план)'!$Q$9:$Q$59,'21 (аморт-план)'!$G$9:$G$59,'23 (свод средн стоим ОС)'!$B12,'21 (аморт-план)'!$F$9:$F$59,'23 (свод средн стоим ОС)'!$B$9)</f>
        <v>0</v>
      </c>
      <c r="E12" s="917">
        <f>SUMIFS('21 (аморт-план)'!$R$9:$R$59,'21 (аморт-план)'!$G$9:$G$59,'23 (свод средн стоим ОС)'!$B12,'21 (аморт-план)'!$F$9:$F$59,'23 (свод средн стоим ОС)'!$B$9)</f>
        <v>0</v>
      </c>
      <c r="F12" s="915">
        <f>C12+D12-E12</f>
        <v>0</v>
      </c>
      <c r="G12" s="915">
        <f>SUMIFS('21 (аморт-план)'!$AB$9:$AB$59,'21 (аморт-план)'!$G$9:$G$59,'23 (свод средн стоим ОС)'!$B12,'21 (аморт-план)'!$F$9:$F$59,'23 (свод средн стоим ОС)'!$B$9)</f>
        <v>0</v>
      </c>
      <c r="H12" s="917">
        <f>SUMIFS('21 (аморт-план)'!$U$9:$U$59,'21 (аморт-план)'!$G$9:$G$59,'23 (свод средн стоим ОС)'!$B12,'21 (аморт-план)'!$F$9:$F$59,'23 (свод средн стоим ОС)'!$B$9)</f>
        <v>0</v>
      </c>
    </row>
    <row r="13" spans="1:9">
      <c r="A13" s="914"/>
      <c r="B13" s="916" t="s">
        <v>171</v>
      </c>
      <c r="C13" s="917">
        <f>SUMIFS('21 (аморт-план)'!$M$9:$M$59,'21 (аморт-план)'!$G$9:$G$59,'23 (свод средн стоим ОС)'!$B13,'21 (аморт-план)'!$F$9:$F$59,'23 (свод средн стоим ОС)'!$B$9)</f>
        <v>0</v>
      </c>
      <c r="D13" s="917">
        <f>SUMIFS('21 (аморт-план)'!$Q$9:$Q$59,'21 (аморт-план)'!$G$9:$G$59,'23 (свод средн стоим ОС)'!$B13,'21 (аморт-план)'!$F$9:$F$59,'23 (свод средн стоим ОС)'!$B$9)</f>
        <v>0</v>
      </c>
      <c r="E13" s="917">
        <f>SUMIFS('21 (аморт-план)'!$R$9:$R$59,'21 (аморт-план)'!$G$9:$G$59,'23 (свод средн стоим ОС)'!$B13,'21 (аморт-план)'!$F$9:$F$59,'23 (свод средн стоим ОС)'!$B$9)</f>
        <v>0</v>
      </c>
      <c r="F13" s="915">
        <f>C13+D13-E13</f>
        <v>0</v>
      </c>
      <c r="G13" s="915">
        <f>SUMIFS('21 (аморт-план)'!$AB$9:$AB$59,'21 (аморт-план)'!$G$9:$G$59,'23 (свод средн стоим ОС)'!$B13,'21 (аморт-план)'!$F$9:$F$59,'23 (свод средн стоим ОС)'!$B$9)</f>
        <v>0</v>
      </c>
      <c r="H13" s="917">
        <f>SUMIFS('21 (аморт-план)'!$U$9:$U$59,'21 (аморт-план)'!$G$9:$G$59,'23 (свод средн стоим ОС)'!$B13,'21 (аморт-план)'!$F$9:$F$59,'23 (свод средн стоим ОС)'!$B$9)</f>
        <v>0</v>
      </c>
    </row>
    <row r="14" spans="1:9">
      <c r="A14" s="914"/>
      <c r="B14" s="914" t="s">
        <v>129</v>
      </c>
      <c r="C14" s="915">
        <f t="shared" ref="C14:H14" si="2">SUM(C15:C18)</f>
        <v>0</v>
      </c>
      <c r="D14" s="915">
        <f t="shared" si="2"/>
        <v>0</v>
      </c>
      <c r="E14" s="915">
        <f t="shared" si="2"/>
        <v>0</v>
      </c>
      <c r="F14" s="915">
        <f t="shared" si="2"/>
        <v>0</v>
      </c>
      <c r="G14" s="915">
        <f t="shared" si="2"/>
        <v>0</v>
      </c>
      <c r="H14" s="915">
        <f t="shared" si="2"/>
        <v>0</v>
      </c>
    </row>
    <row r="15" spans="1:9">
      <c r="A15" s="914"/>
      <c r="B15" s="916" t="s">
        <v>168</v>
      </c>
      <c r="C15" s="917">
        <f>SUMIFS('21 (аморт-план)'!$M$9:$M$59,'21 (аморт-план)'!$G$9:$G$59,'23 (свод средн стоим ОС)'!$B15,'21 (аморт-план)'!$F$9:$F$59,'23 (свод средн стоим ОС)'!$B$14)</f>
        <v>0</v>
      </c>
      <c r="D15" s="917">
        <f>SUMIFS('21 (аморт-план)'!$Q$9:$Q$59,'21 (аморт-план)'!$G$9:$G$59,'23 (свод средн стоим ОС)'!$B15,'21 (аморт-план)'!$F$9:$F$59,'23 (свод средн стоим ОС)'!$B$14)</f>
        <v>0</v>
      </c>
      <c r="E15" s="917">
        <f>SUMIFS('21 (аморт-план)'!$R$9:$R$59,'21 (аморт-план)'!$G$9:$G$59,'23 (свод средн стоим ОС)'!$B15,'21 (аморт-план)'!$F$9:$F$59,'23 (свод средн стоим ОС)'!$B$14)</f>
        <v>0</v>
      </c>
      <c r="F15" s="915">
        <f>C15+D15-E15</f>
        <v>0</v>
      </c>
      <c r="G15" s="915">
        <f>SUMIFS('21 (аморт-план)'!$AB$9:$AB$59,'21 (аморт-план)'!$G$9:$G$59,'23 (свод средн стоим ОС)'!$B15,'21 (аморт-план)'!$F$9:$F$59,'23 (свод средн стоим ОС)'!$B$14)</f>
        <v>0</v>
      </c>
      <c r="H15" s="917">
        <f>SUMIFS('21 (аморт-план)'!$U$9:$U$59,'21 (аморт-план)'!$G$9:$G$59,'23 (свод средн стоим ОС)'!$B15,'21 (аморт-план)'!$F$9:$F$59,'23 (свод средн стоим ОС)'!$B$14)</f>
        <v>0</v>
      </c>
      <c r="I15" s="918"/>
    </row>
    <row r="16" spans="1:9">
      <c r="A16" s="914"/>
      <c r="B16" s="916" t="s">
        <v>208</v>
      </c>
      <c r="C16" s="917">
        <f>SUMIFS('21 (аморт-план)'!$M$9:$M$59,'21 (аморт-план)'!$G$9:$G$59,'23 (свод средн стоим ОС)'!$B16,'21 (аморт-план)'!$F$9:$F$59,'23 (свод средн стоим ОС)'!$B$14)</f>
        <v>0</v>
      </c>
      <c r="D16" s="917">
        <f>SUMIFS('21 (аморт-план)'!$Q$9:$Q$59,'21 (аморт-план)'!$G$9:$G$59,'23 (свод средн стоим ОС)'!$B16,'21 (аморт-план)'!$F$9:$F$59,'23 (свод средн стоим ОС)'!$B$14)</f>
        <v>0</v>
      </c>
      <c r="E16" s="917">
        <f>SUMIFS('21 (аморт-план)'!$R$9:$R$59,'21 (аморт-план)'!$G$9:$G$59,'23 (свод средн стоим ОС)'!$B16,'21 (аморт-план)'!$F$9:$F$59,'23 (свод средн стоим ОС)'!$B$14)</f>
        <v>0</v>
      </c>
      <c r="F16" s="915">
        <f>C16+D16-E16</f>
        <v>0</v>
      </c>
      <c r="G16" s="915">
        <f>SUMIFS('21 (аморт-план)'!$AB$9:$AB$59,'21 (аморт-план)'!$G$9:$G$59,'23 (свод средн стоим ОС)'!$B16,'21 (аморт-план)'!$F$9:$F$59,'23 (свод средн стоим ОС)'!$B$14)</f>
        <v>0</v>
      </c>
      <c r="H16" s="917">
        <f>SUMIFS('21 (аморт-план)'!$U$9:$U$59,'21 (аморт-план)'!$G$9:$G$59,'23 (свод средн стоим ОС)'!$B16,'21 (аморт-план)'!$F$9:$F$59,'23 (свод средн стоим ОС)'!$B$14)</f>
        <v>0</v>
      </c>
      <c r="I16" s="918"/>
    </row>
    <row r="17" spans="1:9">
      <c r="A17" s="914"/>
      <c r="B17" s="916" t="s">
        <v>209</v>
      </c>
      <c r="C17" s="917">
        <f>SUMIFS('21 (аморт-план)'!$M$9:$M$59,'21 (аморт-план)'!$G$9:$G$59,'23 (свод средн стоим ОС)'!$B17,'21 (аморт-план)'!$F$9:$F$59,'23 (свод средн стоим ОС)'!$B$14)</f>
        <v>0</v>
      </c>
      <c r="D17" s="917">
        <f>SUMIFS('21 (аморт-план)'!$Q$9:$Q$59,'21 (аморт-план)'!$G$9:$G$59,'23 (свод средн стоим ОС)'!$B17,'21 (аморт-план)'!$F$9:$F$59,'23 (свод средн стоим ОС)'!$B$14)</f>
        <v>0</v>
      </c>
      <c r="E17" s="917">
        <f>SUMIFS('21 (аморт-план)'!$R$9:$R$59,'21 (аморт-план)'!$G$9:$G$59,'23 (свод средн стоим ОС)'!$B17,'21 (аморт-план)'!$F$9:$F$59,'23 (свод средн стоим ОС)'!$B$14)</f>
        <v>0</v>
      </c>
      <c r="F17" s="915">
        <f>C17+D17-E17</f>
        <v>0</v>
      </c>
      <c r="G17" s="915">
        <f>SUMIFS('21 (аморт-план)'!$AB$9:$AB$59,'21 (аморт-план)'!$G$9:$G$59,'23 (свод средн стоим ОС)'!$B17,'21 (аморт-план)'!$F$9:$F$59,'23 (свод средн стоим ОС)'!$B$14)</f>
        <v>0</v>
      </c>
      <c r="H17" s="917">
        <f>SUMIFS('21 (аморт-план)'!$U$9:$U$59,'21 (аморт-план)'!$G$9:$G$59,'23 (свод средн стоим ОС)'!$B17,'21 (аморт-план)'!$F$9:$F$59,'23 (свод средн стоим ОС)'!$B$14)</f>
        <v>0</v>
      </c>
      <c r="I17" s="918"/>
    </row>
    <row r="18" spans="1:9">
      <c r="A18" s="914"/>
      <c r="B18" s="916" t="s">
        <v>171</v>
      </c>
      <c r="C18" s="917">
        <f>SUMIFS('21 (аморт-план)'!$M$9:$M$59,'21 (аморт-план)'!$G$9:$G$59,'23 (свод средн стоим ОС)'!$B18,'21 (аморт-план)'!$F$9:$F$59,'23 (свод средн стоим ОС)'!$B$14)</f>
        <v>0</v>
      </c>
      <c r="D18" s="917">
        <f>SUMIFS('21 (аморт-план)'!$Q$9:$Q$59,'21 (аморт-план)'!$G$9:$G$59,'23 (свод средн стоим ОС)'!$B18,'21 (аморт-план)'!$F$9:$F$59,'23 (свод средн стоим ОС)'!$B$14)</f>
        <v>0</v>
      </c>
      <c r="E18" s="917">
        <f>SUMIFS('21 (аморт-план)'!$R$9:$R$59,'21 (аморт-план)'!$G$9:$G$59,'23 (свод средн стоим ОС)'!$B18,'21 (аморт-план)'!$F$9:$F$59,'23 (свод средн стоим ОС)'!$B$14)</f>
        <v>0</v>
      </c>
      <c r="F18" s="915">
        <f>C18+D18-E18</f>
        <v>0</v>
      </c>
      <c r="G18" s="915">
        <f>SUMIFS('21 (аморт-план)'!$AB$9:$AB$59,'21 (аморт-план)'!$G$9:$G$59,'23 (свод средн стоим ОС)'!$B18,'21 (аморт-план)'!$F$9:$F$59,'23 (свод средн стоим ОС)'!$B$14)</f>
        <v>0</v>
      </c>
      <c r="H18" s="917">
        <f>SUMIFS('21 (аморт-план)'!$U$9:$U$59,'21 (аморт-план)'!$G$9:$G$59,'23 (свод средн стоим ОС)'!$B18,'21 (аморт-план)'!$F$9:$F$59,'23 (свод средн стоим ОС)'!$B$14)</f>
        <v>0</v>
      </c>
      <c r="I18" s="918"/>
    </row>
    <row r="19" spans="1:9">
      <c r="A19" s="914" t="s">
        <v>113</v>
      </c>
      <c r="B19" s="914" t="s">
        <v>180</v>
      </c>
      <c r="C19" s="915">
        <f t="shared" ref="C19:H19" si="3">SUM(C20:C23)</f>
        <v>0</v>
      </c>
      <c r="D19" s="915">
        <f t="shared" si="3"/>
        <v>0</v>
      </c>
      <c r="E19" s="915">
        <f t="shared" si="3"/>
        <v>0</v>
      </c>
      <c r="F19" s="915">
        <f t="shared" si="3"/>
        <v>0</v>
      </c>
      <c r="G19" s="915">
        <f t="shared" si="3"/>
        <v>0</v>
      </c>
      <c r="H19" s="915">
        <f t="shared" si="3"/>
        <v>0</v>
      </c>
    </row>
    <row r="20" spans="1:9">
      <c r="A20" s="914"/>
      <c r="B20" s="916" t="s">
        <v>168</v>
      </c>
      <c r="C20" s="917">
        <f>SUMIFS('21 (аморт-план)'!$M$9:$M$59,'21 (аморт-план)'!$G$9:$G$59,'23 (свод средн стоим ОС)'!$B20,'21 (аморт-план)'!$F$9:$F$59,'23 (свод средн стоим ОС)'!$B$19)</f>
        <v>0</v>
      </c>
      <c r="D20" s="917">
        <f>SUMIFS('21 (аморт-план)'!$Q$9:$Q$59,'21 (аморт-план)'!$G$9:$G$59,'23 (свод средн стоим ОС)'!$B20,'21 (аморт-план)'!$F$9:$F$59,'23 (свод средн стоим ОС)'!$B$19)</f>
        <v>0</v>
      </c>
      <c r="E20" s="917">
        <f>SUMIFS('21 (аморт-план)'!$R$9:$R$59,'21 (аморт-план)'!$G$9:$G$59,'23 (свод средн стоим ОС)'!$B20,'21 (аморт-план)'!$F$9:$F$59,'23 (свод средн стоим ОС)'!$B$19)</f>
        <v>0</v>
      </c>
      <c r="F20" s="915">
        <f>C20+D20-E20</f>
        <v>0</v>
      </c>
      <c r="G20" s="915">
        <f>SUMIFS('21 (аморт-план)'!$AB$9:$AB$59,'21 (аморт-план)'!$G$9:$G$59,'23 (свод средн стоим ОС)'!$B20,'21 (аморт-план)'!$F$9:$F$59,'23 (свод средн стоим ОС)'!$B$19)</f>
        <v>0</v>
      </c>
      <c r="H20" s="917">
        <f>SUMIFS('21 (аморт-план)'!$U$9:$U$59,'21 (аморт-план)'!$G$9:$G$59,'23 (свод средн стоим ОС)'!$B20,'21 (аморт-план)'!$F$9:$F$59,'23 (свод средн стоим ОС)'!$B$19)</f>
        <v>0</v>
      </c>
    </row>
    <row r="21" spans="1:9">
      <c r="A21" s="914"/>
      <c r="B21" s="916" t="s">
        <v>208</v>
      </c>
      <c r="C21" s="917">
        <f>SUMIFS('21 (аморт-план)'!$M$9:$M$59,'21 (аморт-план)'!$G$9:$G$59,'23 (свод средн стоим ОС)'!$B21,'21 (аморт-план)'!$F$9:$F$59,'23 (свод средн стоим ОС)'!$B$19)</f>
        <v>0</v>
      </c>
      <c r="D21" s="917">
        <f>SUMIFS('21 (аморт-план)'!$Q$9:$Q$59,'21 (аморт-план)'!$G$9:$G$59,'23 (свод средн стоим ОС)'!$B21,'21 (аморт-план)'!$F$9:$F$59,'23 (свод средн стоим ОС)'!$B$19)</f>
        <v>0</v>
      </c>
      <c r="E21" s="917">
        <f>SUMIFS('21 (аморт-план)'!$R$9:$R$59,'21 (аморт-план)'!$G$9:$G$59,'23 (свод средн стоим ОС)'!$B21,'21 (аморт-план)'!$F$9:$F$59,'23 (свод средн стоим ОС)'!$B$19)</f>
        <v>0</v>
      </c>
      <c r="F21" s="915">
        <f>C21+D21-E21</f>
        <v>0</v>
      </c>
      <c r="G21" s="915">
        <f>SUMIFS('21 (аморт-план)'!$AB$9:$AB$59,'21 (аморт-план)'!$G$9:$G$59,'23 (свод средн стоим ОС)'!$B21,'21 (аморт-план)'!$F$9:$F$59,'23 (свод средн стоим ОС)'!$B$19)</f>
        <v>0</v>
      </c>
      <c r="H21" s="917">
        <f>SUMIFS('21 (аморт-план)'!$U$9:$U$59,'21 (аморт-план)'!$G$9:$G$59,'23 (свод средн стоим ОС)'!$B21,'21 (аморт-план)'!$F$9:$F$59,'23 (свод средн стоим ОС)'!$B$19)</f>
        <v>0</v>
      </c>
    </row>
    <row r="22" spans="1:9">
      <c r="A22" s="914"/>
      <c r="B22" s="916" t="s">
        <v>209</v>
      </c>
      <c r="C22" s="917">
        <f>SUMIFS('21 (аморт-план)'!$M$9:$M$59,'21 (аморт-план)'!$G$9:$G$59,'23 (свод средн стоим ОС)'!$B22,'21 (аморт-план)'!$F$9:$F$59,'23 (свод средн стоим ОС)'!$B$19)</f>
        <v>0</v>
      </c>
      <c r="D22" s="917">
        <f>SUMIFS('21 (аморт-план)'!$Q$9:$Q$59,'21 (аморт-план)'!$G$9:$G$59,'23 (свод средн стоим ОС)'!$B22,'21 (аморт-план)'!$F$9:$F$59,'23 (свод средн стоим ОС)'!$B$19)</f>
        <v>0</v>
      </c>
      <c r="E22" s="917">
        <f>SUMIFS('21 (аморт-план)'!$R$9:$R$59,'21 (аморт-план)'!$G$9:$G$59,'23 (свод средн стоим ОС)'!$B22,'21 (аморт-план)'!$F$9:$F$59,'23 (свод средн стоим ОС)'!$B$19)</f>
        <v>0</v>
      </c>
      <c r="F22" s="915">
        <f>C22+D22-E22</f>
        <v>0</v>
      </c>
      <c r="G22" s="915">
        <f>SUMIFS('21 (аморт-план)'!$AB$9:$AB$59,'21 (аморт-план)'!$G$9:$G$59,'23 (свод средн стоим ОС)'!$B22,'21 (аморт-план)'!$F$9:$F$59,'23 (свод средн стоим ОС)'!$B$19)</f>
        <v>0</v>
      </c>
      <c r="H22" s="917">
        <f>SUMIFS('21 (аморт-план)'!$U$9:$U$59,'21 (аморт-план)'!$G$9:$G$59,'23 (свод средн стоим ОС)'!$B22,'21 (аморт-план)'!$F$9:$F$59,'23 (свод средн стоим ОС)'!$B$19)</f>
        <v>0</v>
      </c>
    </row>
    <row r="23" spans="1:9">
      <c r="A23" s="914"/>
      <c r="B23" s="916" t="s">
        <v>171</v>
      </c>
      <c r="C23" s="917">
        <f>SUMIFS('21 (аморт-план)'!$M$9:$M$59,'21 (аморт-план)'!$G$9:$G$59,'23 (свод средн стоим ОС)'!$B23,'21 (аморт-план)'!$F$9:$F$59,'23 (свод средн стоим ОС)'!$B$19)</f>
        <v>0</v>
      </c>
      <c r="D23" s="917">
        <f>SUMIFS('21 (аморт-план)'!$Q$9:$Q$59,'21 (аморт-план)'!$G$9:$G$59,'23 (свод средн стоим ОС)'!$B23,'21 (аморт-план)'!$F$9:$F$59,'23 (свод средн стоим ОС)'!$B$19)</f>
        <v>0</v>
      </c>
      <c r="E23" s="917">
        <f>SUMIFS('21 (аморт-план)'!$R$9:$R$59,'21 (аморт-план)'!$G$9:$G$59,'23 (свод средн стоим ОС)'!$B23,'21 (аморт-план)'!$F$9:$F$59,'23 (свод средн стоим ОС)'!$B$19)</f>
        <v>0</v>
      </c>
      <c r="F23" s="915">
        <f>C23+D23-E23</f>
        <v>0</v>
      </c>
      <c r="G23" s="915">
        <f>SUMIFS('21 (аморт-план)'!$AB$9:$AB$59,'21 (аморт-план)'!$G$9:$G$59,'23 (свод средн стоим ОС)'!$B23,'21 (аморт-план)'!$F$9:$F$59,'23 (свод средн стоим ОС)'!$B$19)</f>
        <v>0</v>
      </c>
      <c r="H23" s="917">
        <f>SUMIFS('21 (аморт-план)'!$U$9:$U$59,'21 (аморт-план)'!$G$9:$G$59,'23 (свод средн стоим ОС)'!$B23,'21 (аморт-план)'!$F$9:$F$59,'23 (свод средн стоим ОС)'!$B$19)</f>
        <v>0</v>
      </c>
    </row>
    <row r="24" spans="1:9">
      <c r="A24" s="914"/>
      <c r="B24" s="914" t="s">
        <v>835</v>
      </c>
      <c r="C24" s="915">
        <f t="shared" ref="C24:H24" si="4">C8+C19</f>
        <v>0</v>
      </c>
      <c r="D24" s="915">
        <f t="shared" si="4"/>
        <v>0</v>
      </c>
      <c r="E24" s="915">
        <f t="shared" si="4"/>
        <v>0</v>
      </c>
      <c r="F24" s="915">
        <f t="shared" si="4"/>
        <v>0</v>
      </c>
      <c r="G24" s="915">
        <f t="shared" si="4"/>
        <v>0</v>
      </c>
      <c r="H24" s="915">
        <f t="shared" si="4"/>
        <v>0</v>
      </c>
    </row>
    <row r="25" spans="1:9">
      <c r="A25" s="914"/>
      <c r="B25" s="916" t="s">
        <v>168</v>
      </c>
      <c r="C25" s="915">
        <f>C10+C20+C15</f>
        <v>0</v>
      </c>
      <c r="D25" s="915">
        <f>D10+D20+D15</f>
        <v>0</v>
      </c>
      <c r="E25" s="915">
        <f t="shared" ref="D25:G28" si="5">E10+E20+E15</f>
        <v>0</v>
      </c>
      <c r="F25" s="915">
        <f t="shared" si="5"/>
        <v>0</v>
      </c>
      <c r="G25" s="915">
        <f t="shared" si="5"/>
        <v>0</v>
      </c>
      <c r="H25" s="915">
        <f>H10+H20+H15</f>
        <v>0</v>
      </c>
    </row>
    <row r="26" spans="1:9">
      <c r="A26" s="914"/>
      <c r="B26" s="916" t="s">
        <v>208</v>
      </c>
      <c r="C26" s="915">
        <f>C11+C21+C16</f>
        <v>0</v>
      </c>
      <c r="D26" s="915">
        <f t="shared" si="5"/>
        <v>0</v>
      </c>
      <c r="E26" s="915">
        <f t="shared" si="5"/>
        <v>0</v>
      </c>
      <c r="F26" s="915">
        <f t="shared" si="5"/>
        <v>0</v>
      </c>
      <c r="G26" s="915">
        <f t="shared" si="5"/>
        <v>0</v>
      </c>
      <c r="H26" s="915">
        <f>H11+H21+H16</f>
        <v>0</v>
      </c>
    </row>
    <row r="27" spans="1:9">
      <c r="A27" s="914"/>
      <c r="B27" s="916" t="s">
        <v>209</v>
      </c>
      <c r="C27" s="915">
        <f>C12+C22+C17</f>
        <v>0</v>
      </c>
      <c r="D27" s="915">
        <f t="shared" si="5"/>
        <v>0</v>
      </c>
      <c r="E27" s="915">
        <f t="shared" si="5"/>
        <v>0</v>
      </c>
      <c r="F27" s="915">
        <f t="shared" si="5"/>
        <v>0</v>
      </c>
      <c r="G27" s="915">
        <f t="shared" si="5"/>
        <v>0</v>
      </c>
      <c r="H27" s="915">
        <f>H12+H22+H17</f>
        <v>0</v>
      </c>
    </row>
    <row r="28" spans="1:9">
      <c r="A28" s="914"/>
      <c r="B28" s="916" t="s">
        <v>171</v>
      </c>
      <c r="C28" s="915">
        <f>C13+C23+C18</f>
        <v>0</v>
      </c>
      <c r="D28" s="915">
        <f>D13+D23+D18</f>
        <v>0</v>
      </c>
      <c r="E28" s="915">
        <f>E13+E23+E18</f>
        <v>0</v>
      </c>
      <c r="F28" s="915">
        <f t="shared" si="5"/>
        <v>0</v>
      </c>
      <c r="G28" s="915">
        <f t="shared" si="5"/>
        <v>0</v>
      </c>
      <c r="H28" s="915">
        <f>H13+H23+H18</f>
        <v>0</v>
      </c>
    </row>
    <row r="29" spans="1:9" s="236" customFormat="1">
      <c r="A29" s="905"/>
      <c r="B29" s="905"/>
      <c r="C29" s="919"/>
      <c r="D29" s="919"/>
      <c r="E29" s="919"/>
      <c r="F29" s="919"/>
      <c r="G29" s="919"/>
      <c r="H29" s="919"/>
    </row>
    <row r="30" spans="1:9" s="910" customFormat="1" ht="27" customHeight="1">
      <c r="A30" s="904"/>
      <c r="B30" s="2434"/>
      <c r="C30" s="2435"/>
      <c r="D30" s="904"/>
      <c r="E30" s="904"/>
      <c r="F30" s="904"/>
      <c r="G30" s="904"/>
      <c r="H30" s="909"/>
    </row>
    <row r="31" spans="1:9" s="910" customFormat="1" ht="33" customHeight="1">
      <c r="A31" s="904"/>
      <c r="B31" s="2434"/>
      <c r="C31" s="2435"/>
      <c r="D31" s="904"/>
      <c r="E31" s="904"/>
      <c r="F31" s="904"/>
      <c r="G31" s="904"/>
      <c r="H31" s="909"/>
    </row>
    <row r="32" spans="1:9">
      <c r="A32" s="442"/>
      <c r="B32" s="442"/>
      <c r="C32" s="442"/>
      <c r="D32" s="442"/>
      <c r="E32" s="442"/>
      <c r="F32" s="442"/>
      <c r="G32" s="442"/>
    </row>
  </sheetData>
  <sheetProtection formatColumns="0" formatRows="0" insertHyperlinks="0"/>
  <mergeCells count="3">
    <mergeCell ref="A4:H4"/>
    <mergeCell ref="B30:C30"/>
    <mergeCell ref="B31:C31"/>
  </mergeCells>
  <hyperlinks>
    <hyperlink ref="B2" location="'Перечень форм для заполнения'!A1" display="Перечень форм"/>
    <hyperlink ref="A1" location="'Перечень форм для заполнения'!A1" display="Вернуться к перечню форм"/>
  </hyperlinks>
  <pageMargins left="0.9055118110236221" right="0.70866141732283472" top="0.74803149606299213" bottom="0.74803149606299213" header="0.31496062992125984" footer="0.31496062992125984"/>
  <pageSetup paperSize="9" scale="9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92D050"/>
  </sheetPr>
  <dimension ref="A1:P54"/>
  <sheetViews>
    <sheetView showGridLines="0" zoomScale="90" zoomScaleNormal="90" zoomScaleSheetLayoutView="100" workbookViewId="0">
      <selection activeCell="O23" sqref="O23"/>
    </sheetView>
  </sheetViews>
  <sheetFormatPr defaultColWidth="8.7109375" defaultRowHeight="12.75" outlineLevelCol="1"/>
  <cols>
    <col min="1" max="1" width="3.7109375" style="233" customWidth="1"/>
    <col min="2" max="2" width="8.7109375" style="233"/>
    <col min="3" max="3" width="51.28515625" style="233" customWidth="1"/>
    <col min="4" max="8" width="19.42578125" style="233" customWidth="1"/>
    <col min="9" max="9" width="23.85546875" style="958" hidden="1" customWidth="1" outlineLevel="1"/>
    <col min="10" max="10" width="19.7109375" style="233" hidden="1" customWidth="1" outlineLevel="1"/>
    <col min="11" max="11" width="25.7109375" style="233" hidden="1" customWidth="1" outlineLevel="1"/>
    <col min="12" max="12" width="8.7109375" style="233" customWidth="1" collapsed="1"/>
    <col min="13" max="16384" width="8.7109375" style="233"/>
  </cols>
  <sheetData>
    <row r="1" spans="1:11">
      <c r="A1" s="2379" t="s">
        <v>210</v>
      </c>
      <c r="B1" s="2379"/>
      <c r="C1" s="2379"/>
      <c r="D1" s="212"/>
      <c r="E1" s="212"/>
      <c r="F1" s="212"/>
      <c r="H1" s="505" t="s">
        <v>853</v>
      </c>
    </row>
    <row r="2" spans="1:11" ht="18.75">
      <c r="B2" s="959"/>
      <c r="G2" s="960"/>
      <c r="H2" s="960"/>
    </row>
    <row r="4" spans="1:11" ht="53.25" customHeight="1">
      <c r="B4" s="2439" t="s">
        <v>854</v>
      </c>
      <c r="C4" s="2439"/>
      <c r="D4" s="2439"/>
      <c r="E4" s="2439"/>
      <c r="F4" s="2439"/>
      <c r="G4" s="2439"/>
      <c r="H4" s="961"/>
    </row>
    <row r="5" spans="1:11" ht="22.5">
      <c r="B5" s="962"/>
      <c r="C5" s="962"/>
      <c r="D5" s="962"/>
      <c r="E5" s="962"/>
      <c r="F5" s="962"/>
      <c r="G5" s="962"/>
      <c r="H5" s="962"/>
    </row>
    <row r="6" spans="1:11" ht="15.75">
      <c r="B6" s="963"/>
      <c r="C6" s="964"/>
      <c r="D6" s="964"/>
      <c r="E6" s="965"/>
      <c r="F6" s="963"/>
      <c r="H6" s="966" t="s">
        <v>226</v>
      </c>
    </row>
    <row r="7" spans="1:11" ht="47.1" customHeight="1">
      <c r="B7" s="2440" t="s">
        <v>827</v>
      </c>
      <c r="C7" s="2442" t="s">
        <v>261</v>
      </c>
      <c r="D7" s="2442" t="str">
        <f>'0. Анкета'!C15-2&amp;",  утверждено"</f>
        <v>2022,  утверждено</v>
      </c>
      <c r="E7" s="2440" t="str">
        <f>'0. Анкета'!C15-2&amp;", факт"</f>
        <v>2022, факт</v>
      </c>
      <c r="F7" s="2443" t="str">
        <f>'0. Анкета'!C15-1&amp;",  утверждено"</f>
        <v>2023,  утверждено</v>
      </c>
      <c r="G7" s="2443" t="str">
        <f>'0. Анкета'!C15&amp;",  предложение"</f>
        <v>2024,  предложение</v>
      </c>
      <c r="H7" s="2301" t="s">
        <v>737</v>
      </c>
      <c r="I7" s="2301" t="str">
        <f>'0. Анкета'!C15-2&amp;",  факт Регулятор"</f>
        <v>2022,  факт Регулятор</v>
      </c>
      <c r="J7" s="2301" t="str">
        <f>'0. Анкета'!C15&amp;",  предложение Регулятора"</f>
        <v>2024,  предложение Регулятора</v>
      </c>
      <c r="K7" s="2301" t="s">
        <v>2220</v>
      </c>
    </row>
    <row r="8" spans="1:11" ht="12" customHeight="1">
      <c r="B8" s="2441"/>
      <c r="C8" s="2441"/>
      <c r="D8" s="2442"/>
      <c r="E8" s="2441"/>
      <c r="F8" s="2443"/>
      <c r="G8" s="2443"/>
      <c r="H8" s="2302"/>
      <c r="I8" s="2302"/>
      <c r="J8" s="2302"/>
      <c r="K8" s="2302"/>
    </row>
    <row r="9" spans="1:11">
      <c r="B9" s="967">
        <v>1</v>
      </c>
      <c r="C9" s="968">
        <f>B9+1</f>
        <v>2</v>
      </c>
      <c r="D9" s="967">
        <v>3</v>
      </c>
      <c r="E9" s="967">
        <v>4</v>
      </c>
      <c r="F9" s="968">
        <v>5</v>
      </c>
      <c r="G9" s="969">
        <v>6</v>
      </c>
      <c r="H9" s="969">
        <v>7</v>
      </c>
      <c r="I9" s="969">
        <f>H9+1</f>
        <v>8</v>
      </c>
      <c r="J9" s="969">
        <f>I9+1</f>
        <v>9</v>
      </c>
      <c r="K9" s="969">
        <f>J9+1</f>
        <v>10</v>
      </c>
    </row>
    <row r="10" spans="1:11">
      <c r="B10" s="970" t="s">
        <v>234</v>
      </c>
      <c r="C10" s="971" t="s">
        <v>855</v>
      </c>
      <c r="D10" s="972">
        <f>D12</f>
        <v>0</v>
      </c>
      <c r="E10" s="972">
        <f>E12</f>
        <v>0</v>
      </c>
      <c r="F10" s="972">
        <f>F12</f>
        <v>0</v>
      </c>
      <c r="G10" s="972">
        <f>G12</f>
        <v>0</v>
      </c>
      <c r="H10" s="973"/>
      <c r="I10" s="972">
        <f>I12</f>
        <v>0</v>
      </c>
      <c r="J10" s="972">
        <f>J12</f>
        <v>0</v>
      </c>
      <c r="K10" s="973"/>
    </row>
    <row r="11" spans="1:11">
      <c r="B11" s="974"/>
      <c r="C11" s="975" t="s">
        <v>856</v>
      </c>
      <c r="D11" s="976"/>
      <c r="E11" s="976"/>
      <c r="F11" s="976"/>
      <c r="G11" s="976"/>
      <c r="H11" s="977"/>
      <c r="I11" s="976"/>
      <c r="J11" s="976"/>
      <c r="K11" s="977"/>
    </row>
    <row r="12" spans="1:11">
      <c r="B12" s="974" t="s">
        <v>267</v>
      </c>
      <c r="C12" s="975" t="s">
        <v>857</v>
      </c>
      <c r="D12" s="978"/>
      <c r="E12" s="978"/>
      <c r="F12" s="978"/>
      <c r="G12" s="978"/>
      <c r="H12" s="979"/>
      <c r="I12" s="978"/>
      <c r="J12" s="978"/>
      <c r="K12" s="979"/>
    </row>
    <row r="13" spans="1:11">
      <c r="B13" s="974"/>
      <c r="C13" s="980" t="s">
        <v>168</v>
      </c>
      <c r="D13" s="978"/>
      <c r="E13" s="978"/>
      <c r="F13" s="978"/>
      <c r="G13" s="978"/>
      <c r="H13" s="979"/>
      <c r="I13" s="978"/>
      <c r="J13" s="978"/>
      <c r="K13" s="979"/>
    </row>
    <row r="14" spans="1:11">
      <c r="B14" s="974"/>
      <c r="C14" s="980" t="s">
        <v>208</v>
      </c>
      <c r="D14" s="978"/>
      <c r="E14" s="978"/>
      <c r="F14" s="978"/>
      <c r="G14" s="978"/>
      <c r="H14" s="979"/>
      <c r="I14" s="978"/>
      <c r="J14" s="978"/>
      <c r="K14" s="979"/>
    </row>
    <row r="15" spans="1:11">
      <c r="B15" s="974"/>
      <c r="C15" s="980" t="s">
        <v>209</v>
      </c>
      <c r="D15" s="978"/>
      <c r="E15" s="978"/>
      <c r="F15" s="978"/>
      <c r="G15" s="978"/>
      <c r="H15" s="979"/>
      <c r="I15" s="978"/>
      <c r="J15" s="978"/>
      <c r="K15" s="979"/>
    </row>
    <row r="16" spans="1:11">
      <c r="B16" s="974"/>
      <c r="C16" s="980" t="s">
        <v>171</v>
      </c>
      <c r="D16" s="978"/>
      <c r="E16" s="978"/>
      <c r="F16" s="978"/>
      <c r="G16" s="978"/>
      <c r="H16" s="979"/>
      <c r="I16" s="978"/>
      <c r="J16" s="978"/>
      <c r="K16" s="979"/>
    </row>
    <row r="17" spans="2:11">
      <c r="B17" s="970" t="s">
        <v>237</v>
      </c>
      <c r="C17" s="971" t="s">
        <v>858</v>
      </c>
      <c r="D17" s="972">
        <f>SUBTOTAL(109,D19:D20)</f>
        <v>0</v>
      </c>
      <c r="E17" s="972">
        <f>SUBTOTAL(109,E19:E20)</f>
        <v>0</v>
      </c>
      <c r="F17" s="972">
        <f>SUBTOTAL(109,F19:F20)</f>
        <v>0</v>
      </c>
      <c r="G17" s="972">
        <f>SUBTOTAL(109,G19:G20)</f>
        <v>0</v>
      </c>
      <c r="H17" s="973"/>
      <c r="I17" s="972">
        <f>SUBTOTAL(109,I19:I20)</f>
        <v>0</v>
      </c>
      <c r="J17" s="972">
        <f>SUBTOTAL(109,J19:J20)</f>
        <v>0</v>
      </c>
      <c r="K17" s="973"/>
    </row>
    <row r="18" spans="2:11">
      <c r="B18" s="970"/>
      <c r="C18" s="975" t="s">
        <v>856</v>
      </c>
      <c r="D18" s="976"/>
      <c r="E18" s="976"/>
      <c r="F18" s="976"/>
      <c r="G18" s="976"/>
      <c r="H18" s="977"/>
      <c r="I18" s="976"/>
      <c r="J18" s="976"/>
      <c r="K18" s="977"/>
    </row>
    <row r="19" spans="2:11">
      <c r="B19" s="974"/>
      <c r="C19" s="981"/>
      <c r="D19" s="978"/>
      <c r="E19" s="978"/>
      <c r="F19" s="978"/>
      <c r="G19" s="978"/>
      <c r="H19" s="979"/>
      <c r="I19" s="978"/>
      <c r="J19" s="978"/>
      <c r="K19" s="979"/>
    </row>
    <row r="20" spans="2:11">
      <c r="B20" s="781"/>
      <c r="C20" s="473" t="s">
        <v>7</v>
      </c>
      <c r="D20" s="781"/>
      <c r="E20" s="781"/>
      <c r="F20" s="781"/>
      <c r="G20" s="982"/>
      <c r="H20" s="785"/>
      <c r="I20" s="781"/>
      <c r="J20" s="781"/>
      <c r="K20" s="785"/>
    </row>
    <row r="21" spans="2:11">
      <c r="B21" s="970" t="s">
        <v>239</v>
      </c>
      <c r="C21" s="971" t="s">
        <v>859</v>
      </c>
      <c r="D21" s="972">
        <f>SUBTOTAL(109,D23:D24)</f>
        <v>0</v>
      </c>
      <c r="E21" s="972">
        <f>SUBTOTAL(109,E23:E24)</f>
        <v>0</v>
      </c>
      <c r="F21" s="972">
        <f>SUBTOTAL(109,F23:F24)</f>
        <v>0</v>
      </c>
      <c r="G21" s="972">
        <f>SUBTOTAL(109,G23:G24)</f>
        <v>0</v>
      </c>
      <c r="H21" s="973"/>
      <c r="I21" s="972">
        <f>SUBTOTAL(109,I23:I24)</f>
        <v>0</v>
      </c>
      <c r="J21" s="972">
        <f>SUBTOTAL(109,J23:J24)</f>
        <v>0</v>
      </c>
      <c r="K21" s="973"/>
    </row>
    <row r="22" spans="2:11">
      <c r="B22" s="970"/>
      <c r="C22" s="975" t="s">
        <v>856</v>
      </c>
      <c r="D22" s="976"/>
      <c r="E22" s="976"/>
      <c r="F22" s="976"/>
      <c r="G22" s="976"/>
      <c r="H22" s="977"/>
      <c r="I22" s="976"/>
      <c r="J22" s="976"/>
      <c r="K22" s="977"/>
    </row>
    <row r="23" spans="2:11">
      <c r="B23" s="974"/>
      <c r="C23" s="981"/>
      <c r="D23" s="978"/>
      <c r="E23" s="978"/>
      <c r="F23" s="978"/>
      <c r="G23" s="978"/>
      <c r="H23" s="979"/>
      <c r="I23" s="978"/>
      <c r="J23" s="978"/>
      <c r="K23" s="979"/>
    </row>
    <row r="24" spans="2:11">
      <c r="B24" s="781"/>
      <c r="C24" s="473" t="s">
        <v>7</v>
      </c>
      <c r="D24" s="781"/>
      <c r="E24" s="781"/>
      <c r="F24" s="781"/>
      <c r="G24" s="982"/>
      <c r="H24" s="785"/>
      <c r="I24" s="781"/>
      <c r="J24" s="781"/>
      <c r="K24" s="785"/>
    </row>
    <row r="25" spans="2:11">
      <c r="B25" s="970" t="s">
        <v>242</v>
      </c>
      <c r="C25" s="971" t="s">
        <v>383</v>
      </c>
      <c r="D25" s="972">
        <f>SUBTOTAL(109,D27:D28)</f>
        <v>0</v>
      </c>
      <c r="E25" s="972">
        <f>SUBTOTAL(109,E27:E28)</f>
        <v>0</v>
      </c>
      <c r="F25" s="972">
        <f>SUBTOTAL(109,F27:F28)</f>
        <v>0</v>
      </c>
      <c r="G25" s="972">
        <f>SUBTOTAL(109,G27:G28)</f>
        <v>0</v>
      </c>
      <c r="H25" s="973"/>
      <c r="I25" s="972">
        <f>SUBTOTAL(109,I27:I28)</f>
        <v>0</v>
      </c>
      <c r="J25" s="972">
        <f>SUBTOTAL(109,J27:J28)</f>
        <v>0</v>
      </c>
      <c r="K25" s="973"/>
    </row>
    <row r="26" spans="2:11">
      <c r="B26" s="974"/>
      <c r="C26" s="975" t="s">
        <v>856</v>
      </c>
      <c r="D26" s="976"/>
      <c r="E26" s="976"/>
      <c r="F26" s="976"/>
      <c r="G26" s="976"/>
      <c r="H26" s="977"/>
      <c r="I26" s="976"/>
      <c r="J26" s="976"/>
      <c r="K26" s="977"/>
    </row>
    <row r="27" spans="2:11">
      <c r="B27" s="974"/>
      <c r="C27" s="981"/>
      <c r="D27" s="978"/>
      <c r="E27" s="978"/>
      <c r="F27" s="978"/>
      <c r="G27" s="978"/>
      <c r="H27" s="979"/>
      <c r="I27" s="978"/>
      <c r="J27" s="978"/>
      <c r="K27" s="979"/>
    </row>
    <row r="28" spans="2:11">
      <c r="B28" s="781"/>
      <c r="C28" s="473" t="s">
        <v>7</v>
      </c>
      <c r="D28" s="781"/>
      <c r="E28" s="781"/>
      <c r="F28" s="781"/>
      <c r="G28" s="982"/>
      <c r="H28" s="785"/>
      <c r="I28" s="781"/>
      <c r="J28" s="781"/>
      <c r="K28" s="785"/>
    </row>
    <row r="29" spans="2:11">
      <c r="B29" s="970" t="s">
        <v>860</v>
      </c>
      <c r="C29" s="971" t="s">
        <v>861</v>
      </c>
      <c r="D29" s="983">
        <f>(D10+D17+D21+D25)/0.8</f>
        <v>0</v>
      </c>
      <c r="E29" s="983">
        <f>(E10+E17+E21+E25)/0.8</f>
        <v>0</v>
      </c>
      <c r="F29" s="983">
        <f>(F10+F17+F21+F25)/0.8</f>
        <v>0</v>
      </c>
      <c r="G29" s="983">
        <f>(G10+G17+G21+G25)/0.8</f>
        <v>0</v>
      </c>
      <c r="H29" s="979"/>
      <c r="I29" s="983">
        <f>(I10+I17+I21+I25)/0.8</f>
        <v>0</v>
      </c>
      <c r="J29" s="983">
        <f>(J10+J17+J21+J25)/0.8</f>
        <v>0</v>
      </c>
      <c r="K29" s="979"/>
    </row>
    <row r="30" spans="2:11">
      <c r="B30" s="970" t="s">
        <v>862</v>
      </c>
      <c r="C30" s="971" t="s">
        <v>863</v>
      </c>
      <c r="D30" s="983">
        <f>SUM(D32:D36)</f>
        <v>0</v>
      </c>
      <c r="E30" s="983">
        <f>SUM(E32:E36)</f>
        <v>0</v>
      </c>
      <c r="F30" s="983">
        <f>SUM(F32:F36)</f>
        <v>0</v>
      </c>
      <c r="G30" s="983">
        <f>SUM(G32:G36)</f>
        <v>0</v>
      </c>
      <c r="H30" s="979"/>
      <c r="I30" s="983">
        <f>SUM(I32:I36)</f>
        <v>0</v>
      </c>
      <c r="J30" s="983">
        <f>SUM(J32:J36)</f>
        <v>0</v>
      </c>
      <c r="K30" s="979"/>
    </row>
    <row r="31" spans="2:11">
      <c r="B31" s="974"/>
      <c r="C31" s="975" t="s">
        <v>864</v>
      </c>
      <c r="D31" s="781"/>
      <c r="E31" s="781"/>
      <c r="F31" s="781"/>
      <c r="G31" s="781"/>
      <c r="H31" s="785"/>
      <c r="I31" s="781"/>
      <c r="J31" s="781"/>
      <c r="K31" s="785"/>
    </row>
    <row r="32" spans="2:11">
      <c r="B32" s="974" t="s">
        <v>865</v>
      </c>
      <c r="C32" s="975" t="s">
        <v>371</v>
      </c>
      <c r="D32" s="978"/>
      <c r="E32" s="978"/>
      <c r="F32" s="978"/>
      <c r="G32" s="978"/>
      <c r="H32" s="979"/>
      <c r="I32" s="978"/>
      <c r="J32" s="978"/>
      <c r="K32" s="979"/>
    </row>
    <row r="33" spans="2:16">
      <c r="B33" s="974" t="s">
        <v>866</v>
      </c>
      <c r="C33" s="975" t="s">
        <v>365</v>
      </c>
      <c r="D33" s="978"/>
      <c r="E33" s="978"/>
      <c r="F33" s="978"/>
      <c r="G33" s="978"/>
      <c r="H33" s="979"/>
      <c r="I33" s="978"/>
      <c r="J33" s="978"/>
      <c r="K33" s="979"/>
    </row>
    <row r="34" spans="2:16">
      <c r="B34" s="974" t="s">
        <v>403</v>
      </c>
      <c r="C34" s="975" t="s">
        <v>867</v>
      </c>
      <c r="D34" s="978"/>
      <c r="E34" s="978"/>
      <c r="F34" s="978"/>
      <c r="G34" s="978"/>
      <c r="H34" s="979"/>
      <c r="I34" s="978"/>
      <c r="J34" s="978"/>
      <c r="K34" s="979"/>
    </row>
    <row r="35" spans="2:16">
      <c r="B35" s="974" t="s">
        <v>868</v>
      </c>
      <c r="C35" s="975" t="s">
        <v>869</v>
      </c>
      <c r="D35" s="978"/>
      <c r="E35" s="978"/>
      <c r="F35" s="978"/>
      <c r="G35" s="978"/>
      <c r="H35" s="979"/>
      <c r="I35" s="978"/>
      <c r="J35" s="978"/>
      <c r="K35" s="979"/>
    </row>
    <row r="36" spans="2:16">
      <c r="B36" s="974" t="s">
        <v>870</v>
      </c>
      <c r="C36" s="975" t="s">
        <v>871</v>
      </c>
      <c r="D36" s="978"/>
      <c r="E36" s="978"/>
      <c r="F36" s="978"/>
      <c r="G36" s="978"/>
      <c r="H36" s="979"/>
      <c r="I36" s="978"/>
      <c r="J36" s="978"/>
      <c r="K36" s="979"/>
    </row>
    <row r="37" spans="2:16" ht="24">
      <c r="B37" s="970" t="s">
        <v>872</v>
      </c>
      <c r="C37" s="971" t="s">
        <v>2236</v>
      </c>
      <c r="D37" s="984"/>
      <c r="E37" s="985">
        <f>E10+E17+E21+E25+E30</f>
        <v>0</v>
      </c>
      <c r="F37" s="984"/>
      <c r="G37" s="983">
        <f>G10+G17+G21+G25+G30</f>
        <v>0</v>
      </c>
      <c r="H37" s="973"/>
      <c r="I37" s="985">
        <f>I10+I17+I21+I25+I30</f>
        <v>0</v>
      </c>
      <c r="J37" s="985">
        <f>J10+J17+J21+J25+J30</f>
        <v>0</v>
      </c>
      <c r="K37" s="973"/>
    </row>
    <row r="38" spans="2:16" ht="24">
      <c r="B38" s="970" t="s">
        <v>904</v>
      </c>
      <c r="C38" s="971" t="s">
        <v>2235</v>
      </c>
      <c r="D38" s="984"/>
      <c r="E38" s="985"/>
      <c r="F38" s="984"/>
      <c r="G38" s="983"/>
      <c r="H38" s="973"/>
      <c r="I38" s="985"/>
      <c r="J38" s="985"/>
      <c r="K38" s="973"/>
    </row>
    <row r="39" spans="2:16" ht="15.75">
      <c r="B39" s="986"/>
      <c r="C39" s="987"/>
      <c r="D39" s="987"/>
      <c r="E39" s="988"/>
      <c r="F39" s="988"/>
      <c r="G39" s="988"/>
      <c r="H39" s="988"/>
      <c r="L39" s="236"/>
      <c r="M39" s="236"/>
      <c r="N39" s="236"/>
      <c r="O39" s="236"/>
      <c r="P39" s="236"/>
    </row>
    <row r="40" spans="2:16" ht="11.25" customHeight="1">
      <c r="B40" s="963"/>
      <c r="C40" s="964"/>
      <c r="D40" s="964"/>
      <c r="E40" s="963"/>
      <c r="F40" s="963"/>
      <c r="G40" s="963"/>
      <c r="H40" s="963"/>
      <c r="L40" s="236"/>
      <c r="M40" s="236"/>
      <c r="N40" s="236"/>
      <c r="O40" s="236"/>
      <c r="P40" s="236"/>
    </row>
    <row r="41" spans="2:16" ht="15.75">
      <c r="B41" s="584"/>
      <c r="C41" s="989"/>
      <c r="D41" s="989"/>
      <c r="E41" s="862"/>
      <c r="F41" s="862"/>
      <c r="G41" s="861"/>
      <c r="H41" s="861"/>
      <c r="I41" s="990"/>
      <c r="L41" s="236"/>
      <c r="M41" s="236"/>
      <c r="N41" s="236"/>
      <c r="O41" s="236"/>
      <c r="P41" s="236"/>
    </row>
    <row r="42" spans="2:16" ht="15.75">
      <c r="B42" s="875" t="s">
        <v>9</v>
      </c>
      <c r="C42" s="989"/>
      <c r="D42" s="989"/>
      <c r="E42" s="862"/>
      <c r="F42" s="862"/>
      <c r="G42" s="861"/>
      <c r="H42" s="861"/>
      <c r="I42" s="990"/>
      <c r="L42" s="236"/>
      <c r="M42" s="236"/>
      <c r="N42" s="236"/>
      <c r="O42" s="236"/>
      <c r="P42" s="236"/>
    </row>
    <row r="43" spans="2:16" ht="15.75">
      <c r="B43" s="481" t="str">
        <f>"*Указать комментарий по фактически завершенному периоду ("&amp;'0. Анкета'!C15-2&amp;" год) / по плановому периоду ("&amp;'0. Анкета'!C15-1&amp;" год)"</f>
        <v>*Указать комментарий по фактически завершенному периоду (2022 год) / по плановому периоду (2023 год)</v>
      </c>
      <c r="C43" s="989"/>
      <c r="D43" s="989"/>
      <c r="E43" s="862"/>
      <c r="F43" s="862"/>
      <c r="G43" s="861"/>
      <c r="H43" s="861"/>
      <c r="I43" s="990"/>
      <c r="L43" s="236"/>
      <c r="M43" s="236"/>
      <c r="N43" s="236"/>
      <c r="O43" s="236"/>
      <c r="P43" s="236"/>
    </row>
    <row r="44" spans="2:16" ht="15.75">
      <c r="B44" s="481" t="s">
        <v>543</v>
      </c>
      <c r="C44" s="989"/>
      <c r="D44" s="989"/>
      <c r="E44" s="862"/>
      <c r="F44" s="862"/>
      <c r="G44" s="861"/>
      <c r="H44" s="861"/>
      <c r="I44" s="990"/>
      <c r="L44" s="236"/>
      <c r="M44" s="236"/>
      <c r="N44" s="236"/>
      <c r="O44" s="236"/>
      <c r="P44" s="236"/>
    </row>
    <row r="45" spans="2:16" ht="15.75">
      <c r="B45" s="481" t="s">
        <v>544</v>
      </c>
      <c r="C45" s="989"/>
      <c r="D45" s="989"/>
      <c r="E45" s="862"/>
      <c r="F45" s="862"/>
      <c r="G45" s="861"/>
      <c r="H45" s="861"/>
      <c r="I45" s="990"/>
      <c r="L45" s="236"/>
      <c r="M45" s="236"/>
      <c r="N45" s="236"/>
      <c r="O45" s="236"/>
      <c r="P45" s="236"/>
    </row>
    <row r="46" spans="2:16" ht="15.75">
      <c r="B46" s="481" t="s">
        <v>545</v>
      </c>
      <c r="C46" s="989"/>
      <c r="D46" s="989"/>
      <c r="E46" s="862"/>
      <c r="F46" s="862"/>
      <c r="G46" s="861"/>
      <c r="H46" s="861"/>
      <c r="I46" s="990"/>
      <c r="L46" s="236"/>
      <c r="M46" s="236"/>
      <c r="N46" s="236"/>
      <c r="O46" s="236"/>
      <c r="P46" s="236"/>
    </row>
    <row r="47" spans="2:16" ht="15.75">
      <c r="B47" s="584"/>
      <c r="C47" s="862"/>
      <c r="D47" s="862"/>
      <c r="E47" s="862"/>
      <c r="F47" s="862"/>
      <c r="G47" s="862"/>
      <c r="H47" s="862"/>
      <c r="I47" s="990"/>
      <c r="L47" s="236"/>
      <c r="M47" s="236"/>
      <c r="N47" s="236"/>
      <c r="O47" s="236"/>
      <c r="P47" s="236"/>
    </row>
    <row r="48" spans="2:16" ht="30.75" customHeight="1">
      <c r="B48" s="584"/>
      <c r="C48" s="2444"/>
      <c r="D48" s="2444"/>
      <c r="E48" s="2444"/>
      <c r="F48" s="2444"/>
      <c r="G48" s="991"/>
      <c r="H48" s="991"/>
      <c r="I48" s="990"/>
      <c r="L48" s="236"/>
      <c r="M48" s="236"/>
      <c r="N48" s="236"/>
      <c r="O48" s="236"/>
      <c r="P48" s="236"/>
    </row>
    <row r="49" spans="3:16">
      <c r="C49" s="236"/>
      <c r="D49" s="236"/>
      <c r="E49" s="236"/>
      <c r="F49" s="236"/>
      <c r="G49" s="236"/>
      <c r="H49" s="236"/>
      <c r="I49" s="990"/>
      <c r="L49" s="236"/>
      <c r="M49" s="236"/>
      <c r="N49" s="236"/>
      <c r="O49" s="236"/>
      <c r="P49" s="236"/>
    </row>
    <row r="50" spans="3:16">
      <c r="L50" s="236"/>
      <c r="M50" s="236"/>
      <c r="N50" s="236"/>
      <c r="O50" s="236"/>
      <c r="P50" s="236"/>
    </row>
    <row r="51" spans="3:16">
      <c r="L51" s="236"/>
      <c r="M51" s="236"/>
      <c r="N51" s="236"/>
      <c r="O51" s="236"/>
      <c r="P51" s="236"/>
    </row>
    <row r="52" spans="3:16">
      <c r="L52" s="236"/>
      <c r="M52" s="236"/>
      <c r="N52" s="236"/>
      <c r="O52" s="236"/>
      <c r="P52" s="236"/>
    </row>
    <row r="53" spans="3:16">
      <c r="L53" s="236"/>
      <c r="M53" s="236"/>
      <c r="N53" s="236"/>
      <c r="O53" s="236"/>
      <c r="P53" s="236"/>
    </row>
    <row r="54" spans="3:16">
      <c r="L54" s="236"/>
      <c r="M54" s="236"/>
      <c r="N54" s="236"/>
      <c r="O54" s="236"/>
      <c r="P54" s="236"/>
    </row>
  </sheetData>
  <sheetProtection formatColumns="0" formatRows="0" insertHyperlinks="0"/>
  <mergeCells count="13">
    <mergeCell ref="H7:H8"/>
    <mergeCell ref="I7:I8"/>
    <mergeCell ref="J7:J8"/>
    <mergeCell ref="K7:K8"/>
    <mergeCell ref="C48:F48"/>
    <mergeCell ref="A1:C1"/>
    <mergeCell ref="B4:G4"/>
    <mergeCell ref="B7:B8"/>
    <mergeCell ref="C7:C8"/>
    <mergeCell ref="D7:D8"/>
    <mergeCell ref="E7:E8"/>
    <mergeCell ref="F7:F8"/>
    <mergeCell ref="G7:G8"/>
  </mergeCells>
  <hyperlinks>
    <hyperlink ref="B2" location="'Перечень форм для заполнения'!A1" display="Перечень форм"/>
    <hyperlink ref="A1" location="'Перечень форм для заполнения'!A1" display="Вернуться к перечню форм"/>
    <hyperlink ref="C28" location="'24 (прибыль)'!A1" display="Добавить"/>
    <hyperlink ref="C24" location="'24 (прибыль)'!A1" display="Добавить"/>
    <hyperlink ref="C20" location="'24 (прибыль)'!A1" display="Добавить"/>
  </hyperlinks>
  <pageMargins left="0.9055118110236221" right="0.70866141732283472" top="0.55118110236220474" bottom="0.55118110236220474" header="0.31496062992125984" footer="0.31496062992125984"/>
  <pageSetup paperSize="9" scale="7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92D050"/>
    <pageSetUpPr fitToPage="1"/>
  </sheetPr>
  <dimension ref="B1:Y56"/>
  <sheetViews>
    <sheetView showGridLines="0" zoomScale="70" zoomScaleNormal="70" zoomScaleSheetLayoutView="100" workbookViewId="0">
      <pane xSplit="4" topLeftCell="E1" activePane="topRight" state="frozen"/>
      <selection pane="topRight" activeCell="N41" sqref="N41"/>
    </sheetView>
  </sheetViews>
  <sheetFormatPr defaultColWidth="8.85546875" defaultRowHeight="12.75"/>
  <cols>
    <col min="1" max="1" width="2.5703125" style="212" customWidth="1"/>
    <col min="2" max="2" width="7.140625" style="212" bestFit="1" customWidth="1"/>
    <col min="3" max="3" width="47.7109375" style="212" customWidth="1"/>
    <col min="4" max="4" width="26.140625" style="212" bestFit="1" customWidth="1"/>
    <col min="5" max="8" width="24.42578125" style="212" customWidth="1"/>
    <col min="9" max="9" width="31.140625" style="212" customWidth="1"/>
    <col min="10" max="10" width="29.5703125" style="212" customWidth="1"/>
    <col min="11" max="12" width="14.85546875" style="212" bestFit="1" customWidth="1"/>
    <col min="13" max="13" width="14" style="212" bestFit="1" customWidth="1"/>
    <col min="14" max="16" width="24.42578125" style="212" customWidth="1"/>
    <col min="17" max="16384" width="8.85546875" style="212"/>
  </cols>
  <sheetData>
    <row r="1" spans="2:25">
      <c r="C1" s="210" t="s">
        <v>210</v>
      </c>
    </row>
    <row r="4" spans="2:25" ht="20.45" customHeight="1">
      <c r="B4" s="2445" t="str">
        <f>CONCATENATE("РАСЧЕТ ТАРИФА НА УСЛУГИ ПО ПЕРЕДАЧЕ ЭЛЕКТРИЧЕСКОЙ ЭНЕРГИИ ПО СЕТЯМ ",'0. Анкета'!C7)</f>
        <v xml:space="preserve">РАСЧЕТ ТАРИФА НА УСЛУГИ ПО ПЕРЕДАЧЕ ЭЛЕКТРИЧЕСКОЙ ЭНЕРГИИ ПО СЕТЯМ </v>
      </c>
      <c r="C4" s="2445"/>
      <c r="D4" s="2445"/>
      <c r="E4" s="2445"/>
      <c r="F4" s="2445"/>
      <c r="G4" s="2445"/>
      <c r="H4" s="2445"/>
      <c r="I4" s="2445"/>
      <c r="J4" s="2445"/>
      <c r="K4" s="2445"/>
      <c r="L4" s="2445"/>
      <c r="M4" s="2445"/>
      <c r="N4" s="2445"/>
      <c r="O4" s="2445"/>
      <c r="P4" s="2445"/>
    </row>
    <row r="7" spans="2:25" ht="42.6" customHeight="1">
      <c r="C7" s="2446" t="s">
        <v>219</v>
      </c>
      <c r="D7" s="2446" t="s">
        <v>175</v>
      </c>
      <c r="E7" s="2449" t="s">
        <v>220</v>
      </c>
      <c r="F7" s="2450"/>
      <c r="G7" s="2450"/>
      <c r="H7" s="2450"/>
      <c r="I7" s="227" t="s">
        <v>221</v>
      </c>
    </row>
    <row r="8" spans="2:25" ht="15.6" customHeight="1">
      <c r="C8" s="2447"/>
      <c r="D8" s="2447"/>
      <c r="E8" s="1937" t="str">
        <f>'0. Анкета'!C15-2&amp;" год"</f>
        <v>2022 год</v>
      </c>
      <c r="F8" s="228" t="str">
        <f>'0. Анкета'!C15-2&amp;" год"</f>
        <v>2022 год</v>
      </c>
      <c r="G8" s="2451" t="s">
        <v>222</v>
      </c>
      <c r="H8" s="228" t="str">
        <f>'0. Анкета'!C15-1&amp;" год"</f>
        <v>2023 год</v>
      </c>
      <c r="I8" s="2451" t="str">
        <f>'0. Анкета'!C15&amp;" год"</f>
        <v>2024 год</v>
      </c>
    </row>
    <row r="9" spans="2:25" ht="15.6" customHeight="1">
      <c r="C9" s="2448"/>
      <c r="D9" s="2448"/>
      <c r="E9" s="229" t="s">
        <v>223</v>
      </c>
      <c r="F9" s="229" t="s">
        <v>224</v>
      </c>
      <c r="G9" s="2452"/>
      <c r="H9" s="229" t="s">
        <v>223</v>
      </c>
      <c r="I9" s="2452"/>
    </row>
    <row r="10" spans="2:25" ht="22.5">
      <c r="C10" s="230" t="s">
        <v>225</v>
      </c>
      <c r="D10" s="231" t="s">
        <v>226</v>
      </c>
      <c r="E10" s="1833"/>
      <c r="F10" s="232">
        <f>'Расчеты к ПЗ'!F210</f>
        <v>0</v>
      </c>
      <c r="G10" s="232">
        <f>E10-F10</f>
        <v>0</v>
      </c>
      <c r="H10" s="232">
        <f>'Расчеты к ПЗ'!G210</f>
        <v>0</v>
      </c>
      <c r="I10" s="232">
        <f>'Расчеты к ПЗ'!H210</f>
        <v>0</v>
      </c>
    </row>
    <row r="13" spans="2:25" s="233" customFormat="1" ht="25.5">
      <c r="C13" s="234" t="s">
        <v>227</v>
      </c>
      <c r="D13" s="235"/>
      <c r="E13" s="235"/>
      <c r="F13" s="235"/>
      <c r="G13" s="235"/>
      <c r="H13" s="235"/>
      <c r="I13" s="235"/>
      <c r="J13" s="235"/>
      <c r="K13" s="235"/>
      <c r="L13" s="235"/>
      <c r="M13" s="235"/>
      <c r="N13" s="218"/>
      <c r="O13" s="212"/>
      <c r="P13" s="212"/>
      <c r="Q13" s="236"/>
      <c r="R13" s="236"/>
      <c r="S13" s="236"/>
      <c r="T13" s="212"/>
      <c r="U13" s="212"/>
      <c r="V13" s="212"/>
      <c r="W13" s="212"/>
      <c r="X13" s="212"/>
      <c r="Y13" s="212"/>
    </row>
    <row r="14" spans="2:25" s="237" customFormat="1" ht="18" customHeight="1">
      <c r="B14" s="2453" t="s">
        <v>12</v>
      </c>
      <c r="C14" s="2456" t="s">
        <v>219</v>
      </c>
      <c r="D14" s="2456" t="s">
        <v>175</v>
      </c>
      <c r="E14" s="2459" t="str">
        <f>CONCATENATE('Расчеты к ПЗ'!F4-2," год  (утверждено)")</f>
        <v>2022 год  (утверждено)</v>
      </c>
      <c r="F14" s="2460"/>
      <c r="G14" s="2459" t="str">
        <f>CONCATENATE('Расчеты к ПЗ'!F4-2," год  (факт)")</f>
        <v>2022 год  (факт)</v>
      </c>
      <c r="H14" s="2460"/>
      <c r="I14" s="2459" t="str">
        <f>CONCATENATE('Расчеты к ПЗ'!F4-1," год  (утверждено)")</f>
        <v>2023 год  (утверждено)</v>
      </c>
      <c r="J14" s="2460"/>
      <c r="K14" s="2466">
        <f>'Расчеты к ПЗ'!F4</f>
        <v>2024</v>
      </c>
      <c r="L14" s="2467"/>
      <c r="M14" s="212"/>
      <c r="N14" s="212"/>
      <c r="O14" s="212"/>
      <c r="P14" s="212"/>
      <c r="T14" s="212"/>
      <c r="U14" s="212"/>
      <c r="V14" s="212"/>
    </row>
    <row r="15" spans="2:25" s="237" customFormat="1" ht="30" customHeight="1">
      <c r="B15" s="2454"/>
      <c r="C15" s="2457"/>
      <c r="D15" s="2457"/>
      <c r="E15" s="2461"/>
      <c r="F15" s="2462"/>
      <c r="G15" s="2461"/>
      <c r="H15" s="2462"/>
      <c r="I15" s="2461"/>
      <c r="J15" s="2462"/>
      <c r="K15" s="2468"/>
      <c r="L15" s="2469"/>
      <c r="M15" s="212"/>
      <c r="N15" s="212"/>
      <c r="O15" s="212"/>
      <c r="P15" s="212"/>
      <c r="T15" s="212"/>
      <c r="U15" s="212"/>
      <c r="V15" s="212"/>
    </row>
    <row r="16" spans="2:25" s="237" customFormat="1" ht="30" customHeight="1">
      <c r="B16" s="2455"/>
      <c r="C16" s="2458"/>
      <c r="D16" s="2458"/>
      <c r="E16" s="227" t="s">
        <v>228</v>
      </c>
      <c r="F16" s="227" t="s">
        <v>229</v>
      </c>
      <c r="G16" s="227" t="s">
        <v>230</v>
      </c>
      <c r="H16" s="227" t="s">
        <v>231</v>
      </c>
      <c r="I16" s="227" t="s">
        <v>228</v>
      </c>
      <c r="J16" s="227" t="s">
        <v>229</v>
      </c>
      <c r="K16" s="227" t="s">
        <v>232</v>
      </c>
      <c r="L16" s="227" t="s">
        <v>233</v>
      </c>
      <c r="M16" s="212"/>
      <c r="N16" s="212"/>
      <c r="O16" s="212"/>
      <c r="T16" s="212"/>
      <c r="U16" s="212"/>
      <c r="V16" s="212"/>
    </row>
    <row r="17" spans="2:25" s="237" customFormat="1" ht="15.75">
      <c r="B17" s="238" t="s">
        <v>234</v>
      </c>
      <c r="C17" s="239" t="s">
        <v>235</v>
      </c>
      <c r="D17" s="240" t="s">
        <v>236</v>
      </c>
      <c r="E17" s="1834"/>
      <c r="F17" s="1834"/>
      <c r="G17" s="241">
        <f>'40 Потери ээ'!K12</f>
        <v>0</v>
      </c>
      <c r="H17" s="241">
        <f>'40 Потери ээ'!L12</f>
        <v>0</v>
      </c>
      <c r="I17" s="241">
        <f>'40 Потери ээ'!O12</f>
        <v>0</v>
      </c>
      <c r="J17" s="241">
        <f>'40 Потери ээ'!P12</f>
        <v>0</v>
      </c>
      <c r="K17" s="241">
        <f>'40 Потери ээ'!U12</f>
        <v>0</v>
      </c>
      <c r="L17" s="241">
        <f>'40 Потери ээ'!V12</f>
        <v>0</v>
      </c>
      <c r="M17" s="212"/>
      <c r="N17" s="212"/>
      <c r="O17" s="212"/>
      <c r="T17" s="212"/>
      <c r="U17" s="212"/>
      <c r="V17" s="212"/>
    </row>
    <row r="18" spans="2:25" s="237" customFormat="1" ht="15.75">
      <c r="B18" s="238" t="s">
        <v>237</v>
      </c>
      <c r="C18" s="239" t="s">
        <v>238</v>
      </c>
      <c r="D18" s="240" t="s">
        <v>236</v>
      </c>
      <c r="E18" s="242"/>
      <c r="F18" s="242"/>
      <c r="G18" s="242"/>
      <c r="H18" s="242"/>
      <c r="I18" s="242"/>
      <c r="J18" s="242"/>
      <c r="K18" s="243"/>
      <c r="L18" s="243"/>
      <c r="M18" s="212"/>
      <c r="N18" s="212"/>
      <c r="O18" s="212"/>
      <c r="T18" s="212"/>
      <c r="U18" s="212"/>
      <c r="V18" s="212"/>
    </row>
    <row r="19" spans="2:25" s="237" customFormat="1" ht="15.75">
      <c r="B19" s="238" t="s">
        <v>239</v>
      </c>
      <c r="C19" s="239" t="s">
        <v>240</v>
      </c>
      <c r="D19" s="240" t="s">
        <v>241</v>
      </c>
      <c r="E19" s="242"/>
      <c r="F19" s="242"/>
      <c r="G19" s="242"/>
      <c r="H19" s="242"/>
      <c r="I19" s="242"/>
      <c r="J19" s="242"/>
      <c r="K19" s="243"/>
      <c r="L19" s="243"/>
      <c r="M19" s="212"/>
      <c r="N19" s="212"/>
      <c r="O19" s="212"/>
      <c r="T19" s="212"/>
      <c r="U19" s="212"/>
      <c r="V19" s="212"/>
    </row>
    <row r="20" spans="2:25" s="237" customFormat="1" ht="15.75">
      <c r="B20" s="238" t="s">
        <v>242</v>
      </c>
      <c r="C20" s="239" t="s">
        <v>243</v>
      </c>
      <c r="D20" s="240" t="s">
        <v>244</v>
      </c>
      <c r="E20" s="242"/>
      <c r="F20" s="242"/>
      <c r="G20" s="242"/>
      <c r="H20" s="242"/>
      <c r="I20" s="242"/>
      <c r="J20" s="242"/>
      <c r="K20" s="243"/>
      <c r="L20" s="243"/>
      <c r="M20" s="212"/>
      <c r="N20" s="212"/>
      <c r="O20" s="212"/>
      <c r="T20" s="212"/>
      <c r="U20" s="212"/>
      <c r="V20" s="212"/>
    </row>
    <row r="21" spans="2:25" s="233" customFormat="1" ht="15">
      <c r="B21" s="244"/>
      <c r="C21" s="244"/>
      <c r="D21" s="244"/>
      <c r="E21" s="244"/>
      <c r="F21" s="245"/>
      <c r="G21" s="246"/>
      <c r="H21" s="246"/>
      <c r="I21" s="246"/>
      <c r="J21" s="246"/>
      <c r="K21" s="246"/>
      <c r="L21" s="246"/>
      <c r="M21" s="247"/>
      <c r="N21" s="245"/>
      <c r="O21" s="245"/>
      <c r="P21" s="248"/>
      <c r="T21" s="212"/>
      <c r="U21" s="212"/>
      <c r="V21" s="212"/>
      <c r="W21" s="212"/>
      <c r="X21" s="212"/>
      <c r="Y21" s="212"/>
    </row>
    <row r="22" spans="2:25" s="233" customFormat="1" ht="15">
      <c r="B22" s="244"/>
      <c r="C22" s="244"/>
      <c r="D22" s="244"/>
      <c r="E22" s="244"/>
      <c r="F22" s="245"/>
      <c r="G22" s="246"/>
      <c r="H22" s="246"/>
      <c r="I22" s="246"/>
      <c r="J22" s="246"/>
      <c r="K22" s="246"/>
      <c r="L22" s="246"/>
      <c r="M22" s="247"/>
      <c r="N22" s="245"/>
      <c r="O22" s="245"/>
      <c r="P22" s="248"/>
      <c r="T22" s="212"/>
      <c r="U22" s="212"/>
      <c r="V22" s="212"/>
      <c r="W22" s="212"/>
      <c r="X22" s="212"/>
      <c r="Y22" s="212"/>
    </row>
    <row r="23" spans="2:25" s="233" customFormat="1" ht="15">
      <c r="B23" s="244"/>
      <c r="C23" s="244"/>
      <c r="D23" s="244"/>
      <c r="E23" s="244"/>
      <c r="F23" s="245"/>
      <c r="G23" s="245"/>
      <c r="H23" s="245"/>
      <c r="I23" s="245"/>
      <c r="J23" s="247"/>
      <c r="K23" s="247"/>
      <c r="L23" s="247"/>
      <c r="M23" s="247"/>
      <c r="N23" s="245"/>
      <c r="O23" s="249"/>
      <c r="P23" s="250"/>
      <c r="T23" s="212"/>
      <c r="U23" s="212"/>
      <c r="V23" s="212"/>
      <c r="W23" s="212"/>
      <c r="X23" s="212"/>
      <c r="Y23" s="212"/>
    </row>
    <row r="24" spans="2:25" s="233" customFormat="1" ht="21.6" customHeight="1">
      <c r="B24" s="244"/>
      <c r="C24" s="2470" t="s">
        <v>245</v>
      </c>
      <c r="D24" s="2470" t="s">
        <v>246</v>
      </c>
      <c r="E24" s="2472" t="str">
        <f>E14</f>
        <v>2022 год  (утверждено)</v>
      </c>
      <c r="F24" s="2472"/>
      <c r="G24" s="2472"/>
      <c r="H24" s="2463" t="str">
        <f>G14</f>
        <v>2022 год  (факт)</v>
      </c>
      <c r="I24" s="2464"/>
      <c r="J24" s="2465"/>
      <c r="K24" s="2463" t="str">
        <f>I14</f>
        <v>2023 год  (утверждено)</v>
      </c>
      <c r="L24" s="2464"/>
      <c r="M24" s="2465"/>
      <c r="N24" s="2463">
        <f>K14</f>
        <v>2024</v>
      </c>
      <c r="O24" s="2464"/>
      <c r="P24" s="2465"/>
      <c r="S24" s="212"/>
      <c r="T24" s="212"/>
      <c r="U24" s="212"/>
      <c r="V24" s="212"/>
      <c r="W24" s="212"/>
      <c r="X24" s="212"/>
    </row>
    <row r="25" spans="2:25" s="233" customFormat="1" ht="27" customHeight="1">
      <c r="B25" s="244"/>
      <c r="C25" s="2471"/>
      <c r="D25" s="2471"/>
      <c r="E25" s="251" t="s">
        <v>247</v>
      </c>
      <c r="F25" s="251" t="s">
        <v>232</v>
      </c>
      <c r="G25" s="251" t="s">
        <v>233</v>
      </c>
      <c r="H25" s="251" t="s">
        <v>247</v>
      </c>
      <c r="I25" s="251" t="s">
        <v>232</v>
      </c>
      <c r="J25" s="251" t="s">
        <v>233</v>
      </c>
      <c r="K25" s="251" t="s">
        <v>247</v>
      </c>
      <c r="L25" s="251" t="s">
        <v>232</v>
      </c>
      <c r="M25" s="251" t="s">
        <v>233</v>
      </c>
      <c r="N25" s="251" t="s">
        <v>247</v>
      </c>
      <c r="O25" s="251" t="s">
        <v>232</v>
      </c>
      <c r="P25" s="251" t="s">
        <v>233</v>
      </c>
      <c r="S25" s="212"/>
      <c r="T25" s="212"/>
      <c r="U25" s="212"/>
      <c r="V25" s="212"/>
      <c r="W25" s="212"/>
      <c r="X25" s="212"/>
    </row>
    <row r="26" spans="2:25" s="233" customFormat="1" ht="15.75">
      <c r="B26" s="244"/>
      <c r="C26" s="252" t="s">
        <v>248</v>
      </c>
      <c r="D26" s="252" t="s">
        <v>249</v>
      </c>
      <c r="E26" s="253">
        <f>SUM(F26:G26)</f>
        <v>0</v>
      </c>
      <c r="F26" s="253">
        <f>E17</f>
        <v>0</v>
      </c>
      <c r="G26" s="253">
        <f>F17</f>
        <v>0</v>
      </c>
      <c r="H26" s="253">
        <f>SUM(I26:J26)</f>
        <v>0</v>
      </c>
      <c r="I26" s="253">
        <f>G17</f>
        <v>0</v>
      </c>
      <c r="J26" s="253">
        <f>H17</f>
        <v>0</v>
      </c>
      <c r="K26" s="253">
        <f>SUM(L26:M26)</f>
        <v>0</v>
      </c>
      <c r="L26" s="253">
        <f>I17</f>
        <v>0</v>
      </c>
      <c r="M26" s="253">
        <f>J17</f>
        <v>0</v>
      </c>
      <c r="N26" s="253">
        <f>SUM(O26:P26)</f>
        <v>0</v>
      </c>
      <c r="O26" s="253">
        <f>K17</f>
        <v>0</v>
      </c>
      <c r="P26" s="253">
        <f>L17</f>
        <v>0</v>
      </c>
      <c r="S26" s="212"/>
      <c r="T26" s="212"/>
      <c r="U26" s="212"/>
      <c r="V26" s="212"/>
      <c r="W26" s="212"/>
      <c r="X26" s="212"/>
    </row>
    <row r="27" spans="2:25" s="233" customFormat="1" ht="15.75">
      <c r="B27" s="244"/>
      <c r="C27" s="252" t="s">
        <v>250</v>
      </c>
      <c r="D27" s="252" t="s">
        <v>249</v>
      </c>
      <c r="E27" s="253">
        <f>SUM(F27:G27)</f>
        <v>0</v>
      </c>
      <c r="F27" s="253">
        <f>E18</f>
        <v>0</v>
      </c>
      <c r="G27" s="253">
        <f>F18</f>
        <v>0</v>
      </c>
      <c r="H27" s="253">
        <f>SUM(I27:J27)</f>
        <v>0</v>
      </c>
      <c r="I27" s="253">
        <f>G18</f>
        <v>0</v>
      </c>
      <c r="J27" s="253">
        <f>H18</f>
        <v>0</v>
      </c>
      <c r="K27" s="253">
        <f>SUM(L27:M27)</f>
        <v>0</v>
      </c>
      <c r="L27" s="253">
        <f>I18</f>
        <v>0</v>
      </c>
      <c r="M27" s="253">
        <f>J18</f>
        <v>0</v>
      </c>
      <c r="N27" s="253">
        <f>SUM(O27:P27)</f>
        <v>0</v>
      </c>
      <c r="O27" s="253">
        <f>K18</f>
        <v>0</v>
      </c>
      <c r="P27" s="253">
        <f>L18</f>
        <v>0</v>
      </c>
      <c r="S27" s="212"/>
      <c r="T27" s="212"/>
      <c r="U27" s="212"/>
      <c r="V27" s="212"/>
      <c r="W27" s="212"/>
      <c r="X27" s="212"/>
    </row>
    <row r="28" spans="2:25" s="233" customFormat="1" ht="15.75">
      <c r="B28" s="244"/>
      <c r="C28" s="252" t="s">
        <v>251</v>
      </c>
      <c r="D28" s="252" t="s">
        <v>252</v>
      </c>
      <c r="E28" s="254"/>
      <c r="F28" s="255">
        <f>E20</f>
        <v>0</v>
      </c>
      <c r="G28" s="255">
        <f>F20</f>
        <v>0</v>
      </c>
      <c r="H28" s="254"/>
      <c r="I28" s="255">
        <f>G20</f>
        <v>0</v>
      </c>
      <c r="J28" s="255">
        <f>H20</f>
        <v>0</v>
      </c>
      <c r="K28" s="254"/>
      <c r="L28" s="255">
        <f>I20</f>
        <v>0</v>
      </c>
      <c r="M28" s="255">
        <f>J20</f>
        <v>0</v>
      </c>
      <c r="N28" s="254"/>
      <c r="O28" s="255">
        <f>K20</f>
        <v>0</v>
      </c>
      <c r="P28" s="255">
        <f>L20</f>
        <v>0</v>
      </c>
      <c r="S28" s="212"/>
      <c r="T28" s="212"/>
      <c r="U28" s="212"/>
      <c r="V28" s="212"/>
      <c r="W28" s="212"/>
      <c r="X28" s="212"/>
    </row>
    <row r="29" spans="2:25" s="233" customFormat="1" ht="15.75">
      <c r="B29" s="244"/>
      <c r="C29" s="252" t="s">
        <v>253</v>
      </c>
      <c r="D29" s="252" t="s">
        <v>226</v>
      </c>
      <c r="E29" s="242"/>
      <c r="F29" s="254"/>
      <c r="G29" s="254"/>
      <c r="H29" s="242"/>
      <c r="I29" s="255">
        <f>I27*I28</f>
        <v>0</v>
      </c>
      <c r="J29" s="255">
        <f>J27*J28</f>
        <v>0</v>
      </c>
      <c r="K29" s="243"/>
      <c r="L29" s="254"/>
      <c r="M29" s="254"/>
      <c r="N29" s="255">
        <f>SUM(O29:P29)</f>
        <v>0</v>
      </c>
      <c r="O29" s="255">
        <f>O27*O28</f>
        <v>0</v>
      </c>
      <c r="P29" s="255">
        <f>P27*P28</f>
        <v>0</v>
      </c>
      <c r="S29" s="212"/>
      <c r="T29" s="212"/>
      <c r="U29" s="212"/>
      <c r="V29" s="212"/>
      <c r="W29" s="212"/>
      <c r="X29" s="212"/>
    </row>
    <row r="30" spans="2:25" s="233" customFormat="1" ht="15.75">
      <c r="B30" s="244"/>
      <c r="C30" s="252" t="s">
        <v>240</v>
      </c>
      <c r="D30" s="252" t="s">
        <v>241</v>
      </c>
      <c r="E30" s="253">
        <f>IFERROR(AVERAGE(F30:G30),0)</f>
        <v>0</v>
      </c>
      <c r="F30" s="253">
        <f>E19</f>
        <v>0</v>
      </c>
      <c r="G30" s="253">
        <f>F19</f>
        <v>0</v>
      </c>
      <c r="H30" s="253">
        <f>IFERROR(AVERAGE(I30:J30),0)</f>
        <v>0</v>
      </c>
      <c r="I30" s="253">
        <f>G19</f>
        <v>0</v>
      </c>
      <c r="J30" s="253">
        <f>H19</f>
        <v>0</v>
      </c>
      <c r="K30" s="253">
        <f>IFERROR(AVERAGE(L30:M30),0)</f>
        <v>0</v>
      </c>
      <c r="L30" s="253">
        <f>I19</f>
        <v>0</v>
      </c>
      <c r="M30" s="253">
        <f>J19</f>
        <v>0</v>
      </c>
      <c r="N30" s="253">
        <f>IFERROR(AVERAGE(O30:P30),0)</f>
        <v>0</v>
      </c>
      <c r="O30" s="253">
        <f>K19</f>
        <v>0</v>
      </c>
      <c r="P30" s="253">
        <f>L19</f>
        <v>0</v>
      </c>
      <c r="S30" s="212"/>
      <c r="T30" s="212"/>
      <c r="U30" s="212"/>
      <c r="V30" s="212"/>
      <c r="W30" s="212"/>
      <c r="X30" s="212"/>
    </row>
    <row r="31" spans="2:25" s="233" customFormat="1" ht="15.75">
      <c r="B31" s="244"/>
      <c r="C31" s="252" t="s">
        <v>254</v>
      </c>
      <c r="D31" s="252" t="s">
        <v>226</v>
      </c>
      <c r="E31" s="255">
        <f>E10</f>
        <v>0</v>
      </c>
      <c r="F31" s="242"/>
      <c r="G31" s="255">
        <f>E31-F31</f>
        <v>0</v>
      </c>
      <c r="H31" s="255">
        <f>F10</f>
        <v>0</v>
      </c>
      <c r="I31" s="243"/>
      <c r="J31" s="255">
        <f>H31-I31</f>
        <v>0</v>
      </c>
      <c r="K31" s="255">
        <f>H10</f>
        <v>0</v>
      </c>
      <c r="L31" s="242"/>
      <c r="M31" s="255">
        <f>K31-L31</f>
        <v>0</v>
      </c>
      <c r="N31" s="255">
        <f>I10</f>
        <v>0</v>
      </c>
      <c r="O31" s="242"/>
      <c r="P31" s="255">
        <f>N31-O31</f>
        <v>0</v>
      </c>
      <c r="S31" s="212"/>
      <c r="T31" s="212"/>
      <c r="U31" s="212"/>
      <c r="V31" s="212"/>
      <c r="W31" s="212"/>
      <c r="X31" s="212"/>
    </row>
    <row r="32" spans="2:25" s="233" customFormat="1" ht="15.75">
      <c r="B32" s="244"/>
      <c r="C32" s="252" t="s">
        <v>255</v>
      </c>
      <c r="D32" s="252" t="s">
        <v>226</v>
      </c>
      <c r="E32" s="1835"/>
      <c r="F32" s="254"/>
      <c r="G32" s="254"/>
      <c r="H32" s="255">
        <f>'Расчеты к ПЗ'!F205</f>
        <v>0</v>
      </c>
      <c r="I32" s="254"/>
      <c r="J32" s="254"/>
      <c r="K32" s="255">
        <f>'Расчеты к ПЗ'!G205</f>
        <v>0</v>
      </c>
      <c r="L32" s="254"/>
      <c r="M32" s="254"/>
      <c r="N32" s="255">
        <f>N31+N29</f>
        <v>0</v>
      </c>
      <c r="O32" s="255">
        <f>O35*O30*6/1000+O36*O26</f>
        <v>0</v>
      </c>
      <c r="P32" s="255">
        <f>P35*P30*6/1000+P36*P26</f>
        <v>0</v>
      </c>
      <c r="S32" s="212"/>
      <c r="T32" s="212"/>
      <c r="U32" s="212"/>
      <c r="V32" s="212"/>
      <c r="W32" s="212"/>
      <c r="X32" s="212"/>
    </row>
    <row r="33" spans="2:24" s="233" customFormat="1" ht="15.75">
      <c r="B33" s="244"/>
      <c r="C33" s="252" t="s">
        <v>256</v>
      </c>
      <c r="D33" s="252" t="s">
        <v>252</v>
      </c>
      <c r="E33" s="256"/>
      <c r="F33" s="242"/>
      <c r="G33" s="242"/>
      <c r="H33" s="256"/>
      <c r="I33" s="254"/>
      <c r="J33" s="254"/>
      <c r="K33" s="256"/>
      <c r="L33" s="242"/>
      <c r="M33" s="242"/>
      <c r="N33" s="256"/>
      <c r="O33" s="255">
        <f>IFERROR(O32/O26,0)</f>
        <v>0</v>
      </c>
      <c r="P33" s="255">
        <f>IFERROR(P32/P26,0)</f>
        <v>0</v>
      </c>
      <c r="S33" s="212"/>
      <c r="T33" s="212"/>
      <c r="U33" s="212"/>
      <c r="V33" s="212"/>
      <c r="W33" s="212"/>
      <c r="X33" s="212"/>
    </row>
    <row r="34" spans="2:24" s="233" customFormat="1" ht="15.75">
      <c r="B34" s="244"/>
      <c r="C34" s="252" t="s">
        <v>257</v>
      </c>
      <c r="D34" s="252"/>
      <c r="E34" s="257"/>
      <c r="F34" s="257"/>
      <c r="G34" s="257"/>
      <c r="H34" s="257"/>
      <c r="I34" s="257"/>
      <c r="J34" s="257"/>
      <c r="K34" s="257"/>
      <c r="L34" s="257"/>
      <c r="M34" s="257"/>
      <c r="N34" s="257"/>
      <c r="O34" s="257"/>
      <c r="P34" s="257"/>
      <c r="S34" s="212"/>
      <c r="T34" s="212"/>
      <c r="U34" s="212"/>
      <c r="V34" s="212"/>
      <c r="W34" s="212"/>
      <c r="X34" s="212"/>
    </row>
    <row r="35" spans="2:24" s="233" customFormat="1" ht="15.75">
      <c r="B35" s="244"/>
      <c r="C35" s="252" t="s">
        <v>258</v>
      </c>
      <c r="D35" s="252" t="s">
        <v>259</v>
      </c>
      <c r="E35" s="256"/>
      <c r="F35" s="242"/>
      <c r="G35" s="242"/>
      <c r="H35" s="256"/>
      <c r="I35" s="254"/>
      <c r="J35" s="254"/>
      <c r="K35" s="256"/>
      <c r="L35" s="242"/>
      <c r="M35" s="242"/>
      <c r="N35" s="256"/>
      <c r="O35" s="255">
        <f>IFERROR((O31)/(O30)/6*1000,0)</f>
        <v>0</v>
      </c>
      <c r="P35" s="255">
        <f>IFERROR((P31)/(P30)/6*1000,0)</f>
        <v>0</v>
      </c>
      <c r="S35" s="212"/>
      <c r="T35" s="212"/>
      <c r="U35" s="212"/>
      <c r="V35" s="212"/>
      <c r="W35" s="212"/>
      <c r="X35" s="212"/>
    </row>
    <row r="36" spans="2:24" s="233" customFormat="1" ht="15.75">
      <c r="B36" s="244"/>
      <c r="C36" s="252" t="s">
        <v>260</v>
      </c>
      <c r="D36" s="252" t="s">
        <v>252</v>
      </c>
      <c r="E36" s="256"/>
      <c r="F36" s="242"/>
      <c r="G36" s="242"/>
      <c r="H36" s="256"/>
      <c r="I36" s="254"/>
      <c r="J36" s="254"/>
      <c r="K36" s="256"/>
      <c r="L36" s="242"/>
      <c r="M36" s="242"/>
      <c r="N36" s="256"/>
      <c r="O36" s="255">
        <f>IFERROR(O29/O26,0)</f>
        <v>0</v>
      </c>
      <c r="P36" s="255">
        <f>IFERROR(P29/P26,0)</f>
        <v>0</v>
      </c>
      <c r="S36" s="212"/>
      <c r="T36" s="212"/>
      <c r="U36" s="212"/>
      <c r="V36" s="212"/>
      <c r="W36" s="212"/>
      <c r="X36" s="212"/>
    </row>
    <row r="45" spans="2:24" hidden="1"/>
    <row r="46" spans="2:24" hidden="1"/>
    <row r="47" spans="2:24" hidden="1"/>
    <row r="48" spans="2:24" hidden="1"/>
    <row r="49" spans="9:9" hidden="1"/>
    <row r="50" spans="9:9" hidden="1">
      <c r="I50" s="258"/>
    </row>
    <row r="51" spans="9:9" hidden="1">
      <c r="I51" s="259">
        <v>0</v>
      </c>
    </row>
    <row r="52" spans="9:9" hidden="1"/>
    <row r="53" spans="9:9" hidden="1"/>
    <row r="54" spans="9:9" hidden="1"/>
    <row r="55" spans="9:9" hidden="1"/>
    <row r="56" spans="9:9" hidden="1"/>
  </sheetData>
  <sheetProtection formatColumns="0" formatRows="0" insertHyperlinks="0"/>
  <mergeCells count="19">
    <mergeCell ref="N24:P24"/>
    <mergeCell ref="K14:L15"/>
    <mergeCell ref="C24:C25"/>
    <mergeCell ref="D24:D25"/>
    <mergeCell ref="E24:G24"/>
    <mergeCell ref="H24:J24"/>
    <mergeCell ref="K24:M24"/>
    <mergeCell ref="I14:J15"/>
    <mergeCell ref="B14:B16"/>
    <mergeCell ref="C14:C16"/>
    <mergeCell ref="D14:D16"/>
    <mergeCell ref="E14:F15"/>
    <mergeCell ref="G14:H15"/>
    <mergeCell ref="B4:P4"/>
    <mergeCell ref="C7:C9"/>
    <mergeCell ref="D7:D9"/>
    <mergeCell ref="E7:H7"/>
    <mergeCell ref="G8:G9"/>
    <mergeCell ref="I8:I9"/>
  </mergeCells>
  <hyperlinks>
    <hyperlink ref="C1" location="'Перечень форм для заполнения'!A1" display="Вернуться к перечню форм"/>
  </hyperlinks>
  <pageMargins left="0.31496062992125984" right="0.31496062992125984" top="0.74803149606299213" bottom="0.74803149606299213" header="0" footer="0"/>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F5994"/>
  </sheetPr>
  <dimension ref="B2:G53"/>
  <sheetViews>
    <sheetView workbookViewId="0">
      <selection activeCell="D13" sqref="D13"/>
    </sheetView>
  </sheetViews>
  <sheetFormatPr defaultRowHeight="12.75"/>
  <cols>
    <col min="1" max="1" width="3.42578125" style="1846" customWidth="1"/>
    <col min="2" max="2" width="24" style="1848" customWidth="1"/>
    <col min="3" max="3" width="23.140625" style="1848" customWidth="1"/>
    <col min="4" max="4" width="88.85546875" style="1849" customWidth="1"/>
    <col min="5" max="16384" width="9.140625" style="1846"/>
  </cols>
  <sheetData>
    <row r="2" spans="2:7" ht="15.75">
      <c r="B2" s="2176" t="s">
        <v>16</v>
      </c>
      <c r="C2" s="2176"/>
      <c r="D2" s="2176"/>
    </row>
    <row r="4" spans="2:7" ht="25.5">
      <c r="B4" s="13" t="s">
        <v>17</v>
      </c>
      <c r="C4" s="13" t="s">
        <v>18</v>
      </c>
      <c r="D4" s="14" t="s">
        <v>19</v>
      </c>
    </row>
    <row r="5" spans="2:7">
      <c r="B5" s="2177" t="s">
        <v>20</v>
      </c>
      <c r="C5" s="2177"/>
      <c r="D5" s="2177"/>
    </row>
    <row r="6" spans="2:7" ht="25.5">
      <c r="B6" s="1850" t="s">
        <v>13</v>
      </c>
      <c r="C6" s="1851" t="s">
        <v>21</v>
      </c>
      <c r="D6" s="1851"/>
    </row>
    <row r="7" spans="2:7" ht="25.5">
      <c r="B7" s="1850" t="s">
        <v>16</v>
      </c>
      <c r="C7" s="1851" t="s">
        <v>22</v>
      </c>
      <c r="D7" s="1851"/>
    </row>
    <row r="8" spans="2:7" s="1856" customFormat="1">
      <c r="B8" s="1854" t="s">
        <v>23</v>
      </c>
      <c r="C8" s="1855" t="s">
        <v>24</v>
      </c>
      <c r="D8" s="1855" t="s">
        <v>25</v>
      </c>
    </row>
    <row r="9" spans="2:7" ht="12.75" customHeight="1">
      <c r="B9" s="2177" t="s">
        <v>26</v>
      </c>
      <c r="C9" s="2177"/>
      <c r="D9" s="2177"/>
    </row>
    <row r="10" spans="2:7" s="1856" customFormat="1" ht="63.75">
      <c r="B10" s="1857" t="s">
        <v>2184</v>
      </c>
      <c r="C10" s="1855" t="s">
        <v>2185</v>
      </c>
      <c r="D10" s="1855" t="s">
        <v>2186</v>
      </c>
      <c r="G10" s="1858"/>
    </row>
    <row r="11" spans="2:7" s="1856" customFormat="1" ht="51">
      <c r="B11" s="1857" t="s">
        <v>2187</v>
      </c>
      <c r="C11" s="1855" t="s">
        <v>2188</v>
      </c>
      <c r="D11" s="1855" t="s">
        <v>2186</v>
      </c>
      <c r="G11" s="1858"/>
    </row>
    <row r="12" spans="2:7" ht="38.25">
      <c r="B12" s="1852" t="s">
        <v>2189</v>
      </c>
      <c r="C12" s="1851" t="s">
        <v>27</v>
      </c>
      <c r="D12" s="1851" t="s">
        <v>28</v>
      </c>
      <c r="G12" s="1847"/>
    </row>
    <row r="13" spans="2:7" ht="38.25">
      <c r="B13" s="1852" t="s">
        <v>2190</v>
      </c>
      <c r="C13" s="1851" t="s">
        <v>29</v>
      </c>
      <c r="D13" s="1851" t="s">
        <v>30</v>
      </c>
      <c r="G13" s="1847"/>
    </row>
    <row r="14" spans="2:7" ht="25.5">
      <c r="B14" s="1852" t="s">
        <v>2191</v>
      </c>
      <c r="C14" s="1851" t="s">
        <v>31</v>
      </c>
      <c r="D14" s="1851" t="s">
        <v>2214</v>
      </c>
      <c r="G14" s="1847"/>
    </row>
    <row r="15" spans="2:7">
      <c r="B15" s="2175" t="s">
        <v>32</v>
      </c>
      <c r="C15" s="2175"/>
      <c r="D15" s="2175"/>
    </row>
    <row r="16" spans="2:7" ht="38.25">
      <c r="B16" s="1852" t="s">
        <v>2192</v>
      </c>
      <c r="C16" s="1851" t="s">
        <v>33</v>
      </c>
      <c r="D16" s="1851" t="s">
        <v>34</v>
      </c>
    </row>
    <row r="17" spans="2:4" ht="51">
      <c r="B17" s="1852" t="s">
        <v>2193</v>
      </c>
      <c r="C17" s="1851" t="s">
        <v>35</v>
      </c>
      <c r="D17" s="1851" t="s">
        <v>36</v>
      </c>
    </row>
    <row r="18" spans="2:4" ht="25.5">
      <c r="B18" s="1852" t="s">
        <v>2194</v>
      </c>
      <c r="C18" s="1851" t="s">
        <v>37</v>
      </c>
      <c r="D18" s="1851" t="s">
        <v>38</v>
      </c>
    </row>
    <row r="19" spans="2:4" ht="38.25">
      <c r="B19" s="1850" t="s">
        <v>39</v>
      </c>
      <c r="C19" s="1851" t="s">
        <v>40</v>
      </c>
      <c r="D19" s="1851" t="s">
        <v>41</v>
      </c>
    </row>
    <row r="20" spans="2:4" ht="51">
      <c r="B20" s="1850" t="s">
        <v>42</v>
      </c>
      <c r="C20" s="1851" t="s">
        <v>43</v>
      </c>
      <c r="D20" s="1851" t="s">
        <v>44</v>
      </c>
    </row>
    <row r="21" spans="2:4" ht="51">
      <c r="B21" s="1850" t="s">
        <v>45</v>
      </c>
      <c r="C21" s="1851" t="s">
        <v>46</v>
      </c>
      <c r="D21" s="1851" t="s">
        <v>47</v>
      </c>
    </row>
    <row r="22" spans="2:4" ht="25.5">
      <c r="B22" s="1850" t="s">
        <v>48</v>
      </c>
      <c r="C22" s="1851" t="s">
        <v>49</v>
      </c>
      <c r="D22" s="1851" t="s">
        <v>50</v>
      </c>
    </row>
    <row r="23" spans="2:4" ht="25.5">
      <c r="B23" s="1850" t="s">
        <v>51</v>
      </c>
      <c r="C23" s="1851" t="s">
        <v>49</v>
      </c>
      <c r="D23" s="1851" t="s">
        <v>52</v>
      </c>
    </row>
    <row r="24" spans="2:4" ht="25.5">
      <c r="B24" s="1850" t="s">
        <v>53</v>
      </c>
      <c r="C24" s="1851" t="s">
        <v>49</v>
      </c>
      <c r="D24" s="1851" t="s">
        <v>54</v>
      </c>
    </row>
    <row r="25" spans="2:4" ht="25.5">
      <c r="B25" s="1850" t="s">
        <v>55</v>
      </c>
      <c r="C25" s="1851" t="s">
        <v>49</v>
      </c>
      <c r="D25" s="1851" t="s">
        <v>56</v>
      </c>
    </row>
    <row r="26" spans="2:4" ht="38.25">
      <c r="B26" s="1850" t="s">
        <v>57</v>
      </c>
      <c r="C26" s="1851" t="s">
        <v>49</v>
      </c>
      <c r="D26" s="1851" t="s">
        <v>58</v>
      </c>
    </row>
    <row r="27" spans="2:4" ht="38.25">
      <c r="B27" s="1850" t="s">
        <v>59</v>
      </c>
      <c r="C27" s="1851" t="s">
        <v>49</v>
      </c>
      <c r="D27" s="1851" t="s">
        <v>60</v>
      </c>
    </row>
    <row r="28" spans="2:4" ht="38.25">
      <c r="B28" s="1850" t="s">
        <v>61</v>
      </c>
      <c r="C28" s="1851" t="s">
        <v>62</v>
      </c>
      <c r="D28" s="1853" t="s">
        <v>63</v>
      </c>
    </row>
    <row r="29" spans="2:4" ht="38.25">
      <c r="B29" s="1850" t="s">
        <v>64</v>
      </c>
      <c r="C29" s="1851" t="s">
        <v>65</v>
      </c>
      <c r="D29" s="1853" t="s">
        <v>66</v>
      </c>
    </row>
    <row r="30" spans="2:4" ht="38.25">
      <c r="B30" s="1850" t="s">
        <v>67</v>
      </c>
      <c r="C30" s="1851" t="s">
        <v>68</v>
      </c>
      <c r="D30" s="1851" t="s">
        <v>69</v>
      </c>
    </row>
    <row r="31" spans="2:4" ht="25.5">
      <c r="B31" s="1850" t="s">
        <v>70</v>
      </c>
      <c r="C31" s="1851" t="s">
        <v>68</v>
      </c>
      <c r="D31" s="1851" t="s">
        <v>71</v>
      </c>
    </row>
    <row r="32" spans="2:4" ht="25.5">
      <c r="B32" s="1850" t="s">
        <v>72</v>
      </c>
      <c r="C32" s="1851" t="s">
        <v>68</v>
      </c>
      <c r="D32" s="1851" t="s">
        <v>73</v>
      </c>
    </row>
    <row r="33" spans="2:7" ht="25.5">
      <c r="B33" s="1850" t="s">
        <v>74</v>
      </c>
      <c r="C33" s="1851" t="s">
        <v>68</v>
      </c>
      <c r="D33" s="1851" t="s">
        <v>75</v>
      </c>
    </row>
    <row r="34" spans="2:7" ht="51">
      <c r="B34" s="1850" t="s">
        <v>76</v>
      </c>
      <c r="C34" s="1851" t="s">
        <v>77</v>
      </c>
      <c r="D34" s="1853" t="s">
        <v>78</v>
      </c>
    </row>
    <row r="35" spans="2:7">
      <c r="B35" s="2175" t="s">
        <v>79</v>
      </c>
      <c r="C35" s="2175"/>
      <c r="D35" s="2175"/>
    </row>
    <row r="36" spans="2:7" ht="38.25">
      <c r="B36" s="1852" t="s">
        <v>2195</v>
      </c>
      <c r="C36" s="1851" t="s">
        <v>80</v>
      </c>
      <c r="D36" s="1853" t="s">
        <v>2215</v>
      </c>
    </row>
    <row r="37" spans="2:7">
      <c r="B37" s="1852" t="s">
        <v>2196</v>
      </c>
      <c r="C37" s="1851" t="s">
        <v>81</v>
      </c>
      <c r="D37" s="1853" t="s">
        <v>82</v>
      </c>
    </row>
    <row r="38" spans="2:7" ht="12.75" customHeight="1">
      <c r="B38" s="2175" t="s">
        <v>83</v>
      </c>
      <c r="C38" s="2175"/>
      <c r="D38" s="2175"/>
      <c r="G38" s="1847"/>
    </row>
    <row r="39" spans="2:7" ht="38.25">
      <c r="B39" s="1852" t="s">
        <v>2197</v>
      </c>
      <c r="C39" s="1851"/>
      <c r="D39" s="1853" t="s">
        <v>84</v>
      </c>
    </row>
    <row r="40" spans="2:7">
      <c r="B40" s="1852" t="s">
        <v>2198</v>
      </c>
      <c r="C40" s="1851"/>
      <c r="D40" s="1853" t="s">
        <v>85</v>
      </c>
      <c r="G40" s="1847"/>
    </row>
    <row r="41" spans="2:7">
      <c r="B41" s="1852" t="s">
        <v>2199</v>
      </c>
      <c r="C41" s="1851"/>
      <c r="D41" s="1853" t="s">
        <v>86</v>
      </c>
    </row>
    <row r="42" spans="2:7" ht="25.5">
      <c r="B42" s="1852" t="s">
        <v>2200</v>
      </c>
      <c r="C42" s="1851"/>
      <c r="D42" s="1853" t="s">
        <v>87</v>
      </c>
    </row>
    <row r="43" spans="2:7">
      <c r="B43" s="1852" t="s">
        <v>2201</v>
      </c>
      <c r="C43" s="1851"/>
      <c r="D43" s="1853" t="s">
        <v>88</v>
      </c>
    </row>
    <row r="44" spans="2:7">
      <c r="B44" s="1852" t="s">
        <v>2202</v>
      </c>
      <c r="C44" s="1851"/>
      <c r="D44" s="1853" t="s">
        <v>89</v>
      </c>
    </row>
    <row r="45" spans="2:7">
      <c r="B45" s="1852" t="s">
        <v>2203</v>
      </c>
      <c r="C45" s="1851"/>
      <c r="D45" s="1853" t="s">
        <v>2204</v>
      </c>
    </row>
    <row r="46" spans="2:7">
      <c r="B46" s="1852" t="s">
        <v>2205</v>
      </c>
      <c r="C46" s="1851"/>
      <c r="D46" s="1853" t="s">
        <v>2206</v>
      </c>
    </row>
    <row r="47" spans="2:7">
      <c r="B47" s="1852" t="s">
        <v>2207</v>
      </c>
      <c r="C47" s="1851"/>
      <c r="D47" s="1853" t="s">
        <v>1938</v>
      </c>
    </row>
    <row r="48" spans="2:7">
      <c r="B48" s="1852" t="s">
        <v>2208</v>
      </c>
      <c r="C48" s="1851"/>
      <c r="D48" s="1853" t="s">
        <v>1133</v>
      </c>
    </row>
    <row r="49" spans="2:4">
      <c r="B49" s="1852" t="s">
        <v>2209</v>
      </c>
      <c r="C49" s="1851"/>
      <c r="D49" s="1853" t="s">
        <v>1240</v>
      </c>
    </row>
    <row r="50" spans="2:4">
      <c r="B50" s="1852" t="s">
        <v>2210</v>
      </c>
      <c r="C50" s="1851"/>
      <c r="D50" s="1853" t="s">
        <v>1305</v>
      </c>
    </row>
    <row r="51" spans="2:4">
      <c r="B51" s="1852" t="s">
        <v>2211</v>
      </c>
      <c r="C51" s="1851"/>
      <c r="D51" s="1853" t="s">
        <v>1917</v>
      </c>
    </row>
    <row r="52" spans="2:4" ht="25.5">
      <c r="B52" s="1852" t="s">
        <v>2213</v>
      </c>
      <c r="C52" s="1851"/>
      <c r="D52" s="1853" t="s">
        <v>2212</v>
      </c>
    </row>
    <row r="53" spans="2:4">
      <c r="B53" s="1852"/>
      <c r="C53" s="1851"/>
      <c r="D53" s="1853"/>
    </row>
  </sheetData>
  <mergeCells count="6">
    <mergeCell ref="B38:D38"/>
    <mergeCell ref="B2:D2"/>
    <mergeCell ref="B5:D5"/>
    <mergeCell ref="B9:D9"/>
    <mergeCell ref="B15:D15"/>
    <mergeCell ref="B35:D35"/>
  </mergeCells>
  <hyperlinks>
    <hyperlink ref="B6" location="'Инструкция'!A1" display="'Инструкция'!A1"/>
    <hyperlink ref="B7" location="'Перечень форм для заполнения'!A1" display="'Перечень форм для заполнения'!A1"/>
    <hyperlink ref="B8" location="'0. Анкета'!A1" display="0 (анкета)"/>
    <hyperlink ref="B10" location="'1. Балансы ЭЭ и М'!A1" display="1. Балансы ЭЭ и М"/>
    <hyperlink ref="B12" location="'3. уе ЛЭП'!A1" display="3 (ЛЭП у.е.)"/>
    <hyperlink ref="B13" location="'4. уе ПС'!A1" display="4 (ПС у.е.)"/>
    <hyperlink ref="B14" location="'5. уе свод'!A1" display="5 (свод у.е.)"/>
    <hyperlink ref="B36" location="'25 расчет инд.тарифа'!A1" display="25 (расчет тарифа)"/>
    <hyperlink ref="B16" location="'6 (сырье и материалы)'!A1" display="6 (сырье и материалы)"/>
    <hyperlink ref="B17" location="'7 (РПР, ремонт)'!A1" display="7 (РПР, ремонт)"/>
    <hyperlink ref="B18" location="'8 (расходы на ТО)'!A1" display="8 (расходы на ТО)"/>
    <hyperlink ref="B19" location="'9 (Персонал)'!A1" display="'9 (Персонал)'!A1"/>
    <hyperlink ref="B20" location="'10 (ППР)'!A1" display="'10 (ППР)'!A1"/>
    <hyperlink ref="B21" location="'11 (ФСК)'!A1" display="'11 (ФСК)'!A1"/>
    <hyperlink ref="B22" location="'12 (аренда ЭСХ-отч пер)'!A1" display="'12 (аренда ЭСХ-отч пер)'!A1"/>
    <hyperlink ref="B23" location="'13 (аренда ЭСХ-план) '!A1" display="'13 (аренда ЭСХ-план) '!A1"/>
    <hyperlink ref="B24" location="'14 (лизинг ЭСХ-отч пер)'!A1" display="'14 (лизинг ЭСХ-отч пер)'!A1"/>
    <hyperlink ref="B25" location="'15 (лизинг ЭСХ-план)'!A1" display="'15 (лизинг ЭСХ-план)'!A1"/>
    <hyperlink ref="B26" location="'16 (ар.+лиз. проч. им.-отч пер)'!A1" display="'16 (ар.+лиз. проч. им.-отч пер)'!A1"/>
    <hyperlink ref="B27" location="'17 (ар.+лиз. проч. им. на-план)'!A1" display="'17 (ар.+лиз. проч. им. на-план)'!A1"/>
    <hyperlink ref="B28" location="'18 (прочие НР)'!A1" display="'18 (прочие НР)'!A1"/>
    <hyperlink ref="B29" location="'19 (кредиты)'!A1" display="'19 (кредиты)'!A1"/>
    <hyperlink ref="B30" location="'20 (аморт-отч пер)'!A1" display="'20 (аморт-отч пер)'!A1"/>
    <hyperlink ref="B31" location="'21 (аморт-план)'!A1" display="'21 (аморт-план)'!A1"/>
    <hyperlink ref="B32" location="'22 (свод аморт)'!A1" display="'22 (свод аморт)'!A1"/>
    <hyperlink ref="B33" location="'23 (свод средн стоим ОС)'!A1" display="'23 (свод средн стоим ОС)'!A1"/>
    <hyperlink ref="B34" location="'24 (прибыль)'!A1" display="'24 (прибыль)'!A1"/>
    <hyperlink ref="B39" location="'27 (депозиты)'!A1" display="27 (депозиты)"/>
    <hyperlink ref="B40" location="'28 (бездоговор)'!A1" display="28 (бездоговор)"/>
    <hyperlink ref="B41" location="'29 (потери-факт)'!A1" display="29 (потери-факт)"/>
    <hyperlink ref="B42" location="'30 (тов.выручка-факт)'!A1" display="30 (тов.выручка-факт)"/>
    <hyperlink ref="B43" location="'31 (услуги ФСК-факт)'!A1" display="31 (услуги ФСК-факт)"/>
    <hyperlink ref="B44" location="'32 ИПР'!A1" display="32 (ИПР-факт)"/>
    <hyperlink ref="B37" location="'26 (корректировка)'!A1" display="26 (корректировка)"/>
    <hyperlink ref="B11" location="'2.Котловые балансы'!A1" display="2.Котловые балансы"/>
    <hyperlink ref="B45" location="'33 орех и нп'!A1" display="33 орех и нп"/>
    <hyperlink ref="B46" location="'34 Расчет НВВ по RAB'!A1" display="34 Расчет НВВ по RAB"/>
    <hyperlink ref="B47" location="'35 Исполнение ИПР'!A1" display="35 Исполнение ИПР"/>
    <hyperlink ref="B48" location="'36 Расчет ЕКТ'!A1" display="36 Расчет ЕКТ"/>
    <hyperlink ref="B49" location="'37 ФХД'!A1" display="37 ФХД"/>
    <hyperlink ref="B50" location="'38 ДПР'!A1" display="38 ДПР"/>
    <hyperlink ref="B51" location="'39 ИПЦ'!A1" display="39 ИПЦ"/>
    <hyperlink ref="B52" location="'40 Потери ээ'!A1" display="40 Потери ээ"/>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outlinePr summaryBelow="0" summaryRight="0"/>
  </sheetPr>
  <dimension ref="B1:H47"/>
  <sheetViews>
    <sheetView showGridLines="0" view="pageBreakPreview" topLeftCell="A25" zoomScale="115" zoomScaleNormal="115" zoomScaleSheetLayoutView="115" workbookViewId="0">
      <selection activeCell="N7" sqref="N7"/>
    </sheetView>
  </sheetViews>
  <sheetFormatPr defaultRowHeight="12.75" outlineLevelCol="1"/>
  <cols>
    <col min="1" max="1" width="2.85546875" customWidth="1"/>
    <col min="2" max="2" width="5.28515625" customWidth="1"/>
    <col min="3" max="3" width="62.5703125" customWidth="1"/>
    <col min="4" max="4" width="10.140625" customWidth="1"/>
    <col min="5" max="5" width="16.28515625" customWidth="1" collapsed="1"/>
    <col min="6" max="6" width="14.5703125" hidden="1" customWidth="1" outlineLevel="1"/>
    <col min="7" max="7" width="12.42578125" hidden="1" customWidth="1" outlineLevel="1"/>
    <col min="8" max="8" width="1.28515625" customWidth="1"/>
    <col min="16" max="16" width="8.85546875" customWidth="1"/>
  </cols>
  <sheetData>
    <row r="1" spans="2:8" ht="17.45" customHeight="1">
      <c r="B1" s="260" t="s">
        <v>210</v>
      </c>
      <c r="E1" s="261"/>
    </row>
    <row r="2" spans="2:8" ht="17.45" hidden="1" customHeight="1">
      <c r="B2" s="260"/>
      <c r="E2" s="261"/>
    </row>
    <row r="3" spans="2:8" ht="18.75">
      <c r="B3" s="2473" t="str">
        <f>"Расчет корректировки НВВ  на "&amp;'0. Анкета'!C15&amp;" год"</f>
        <v>Расчет корректировки НВВ  на 2024 год</v>
      </c>
      <c r="C3" s="2473"/>
      <c r="D3" s="2473"/>
      <c r="E3" s="2473"/>
      <c r="F3" s="2473"/>
      <c r="G3" s="2473"/>
    </row>
    <row r="4" spans="2:8" ht="25.5">
      <c r="B4" s="262" t="s">
        <v>12</v>
      </c>
      <c r="C4" s="263" t="s">
        <v>261</v>
      </c>
      <c r="D4" s="264" t="s">
        <v>262</v>
      </c>
      <c r="E4" s="265" t="str">
        <f>CONCATENATE("Расчет ",'0. Анкета'!C7)</f>
        <v xml:space="preserve">Расчет </v>
      </c>
      <c r="F4" s="265" t="s">
        <v>2225</v>
      </c>
      <c r="G4" s="265" t="s">
        <v>263</v>
      </c>
    </row>
    <row r="5" spans="2:8">
      <c r="B5" s="262" t="s">
        <v>264</v>
      </c>
      <c r="C5" s="263" t="str">
        <f>"КОРРЕКТИРОВКА НВВ НА "&amp;'0. Анкета'!C15&amp;" ГОД"</f>
        <v>КОРРЕКТИРОВКА НВВ НА 2024 ГОД</v>
      </c>
      <c r="D5" s="266" t="s">
        <v>226</v>
      </c>
      <c r="E5" s="267">
        <f>SUM(E6,E44,E45,E46,E47)</f>
        <v>0</v>
      </c>
      <c r="F5" s="267">
        <f>SUM(F6,F44,F45,F46,F47)</f>
        <v>0</v>
      </c>
      <c r="G5" s="267">
        <f>E5-F5</f>
        <v>0</v>
      </c>
    </row>
    <row r="6" spans="2:8" ht="25.5">
      <c r="B6" s="262" t="s">
        <v>265</v>
      </c>
      <c r="C6" s="263" t="s">
        <v>266</v>
      </c>
      <c r="D6" s="266" t="s">
        <v>226</v>
      </c>
      <c r="E6" s="267">
        <f>E7+E41</f>
        <v>0</v>
      </c>
      <c r="F6" s="267">
        <f>F7+F41</f>
        <v>0</v>
      </c>
      <c r="G6" s="267">
        <f>E6-F6</f>
        <v>0</v>
      </c>
    </row>
    <row r="7" spans="2:8" ht="25.5">
      <c r="B7" s="268" t="s">
        <v>234</v>
      </c>
      <c r="C7" s="266" t="str">
        <f>"В i  - корректировка НВВ за "&amp;'0. Анкета'!C15-2&amp;" год
В i =(В инд+В корр.ИП)*(1+i i-1)*(1+i i) (без Bi  распред)"</f>
        <v>В i  - корректировка НВВ за 2022 год
В i =(В инд+В корр.ИП)*(1+i i-1)*(1+i i) (без Bi  распред)</v>
      </c>
      <c r="D7" s="266" t="s">
        <v>226</v>
      </c>
      <c r="E7" s="267">
        <f>(E10+E35)*(1+E8)*(1+E9)</f>
        <v>0</v>
      </c>
      <c r="F7" s="267">
        <f>(F10+F35)*(1+F8)*(1+F9)</f>
        <v>0</v>
      </c>
      <c r="G7" s="267">
        <f>E7-F7</f>
        <v>0</v>
      </c>
    </row>
    <row r="8" spans="2:8">
      <c r="B8" s="268" t="s">
        <v>267</v>
      </c>
      <c r="C8" s="266" t="str">
        <f>"ИПЦ на год I (&amp;'0. Анкета'!C14&amp; год)"</f>
        <v>ИПЦ на год I (&amp;'0. Анкета'!C14&amp; год)</v>
      </c>
      <c r="D8" s="266" t="s">
        <v>268</v>
      </c>
      <c r="E8" s="269"/>
      <c r="F8" s="269"/>
      <c r="G8" s="270"/>
    </row>
    <row r="9" spans="2:8">
      <c r="B9" s="268" t="s">
        <v>269</v>
      </c>
      <c r="C9" s="266" t="str">
        <f>"ИПЦ на год i -1 на ("&amp;'0. Анкета'!C15-1&amp;" год)"</f>
        <v>ИПЦ на год i -1 на (2023 год)</v>
      </c>
      <c r="D9" s="266" t="s">
        <v>268</v>
      </c>
      <c r="E9" s="269"/>
      <c r="F9" s="269"/>
      <c r="G9" s="270"/>
    </row>
    <row r="10" spans="2:8" ht="25.5">
      <c r="B10" s="268" t="s">
        <v>270</v>
      </c>
      <c r="C10" s="266" t="s">
        <v>271</v>
      </c>
      <c r="D10" s="266" t="s">
        <v>226</v>
      </c>
      <c r="E10" s="267">
        <f>SUM(E11,E20,E23,E26,E29)</f>
        <v>0</v>
      </c>
      <c r="F10" s="267">
        <f>SUM(F11,F20,F23,F26,F29)</f>
        <v>0</v>
      </c>
      <c r="G10" s="267">
        <f>E10-F10</f>
        <v>0</v>
      </c>
    </row>
    <row r="11" spans="2:8">
      <c r="B11" s="268" t="s">
        <v>272</v>
      </c>
      <c r="C11" s="271" t="s">
        <v>273</v>
      </c>
      <c r="D11" s="272" t="s">
        <v>226</v>
      </c>
      <c r="E11" s="267">
        <f>IF(H13=1,0,E12*(1-E14)*(1+E15)*(1+E16*E17)-E13)</f>
        <v>0</v>
      </c>
      <c r="F11" s="267">
        <f>IFERROR(IF(H13=1,0,F12*(1-F14)*(1+F15)*(1+F16*F17)-F13),0)</f>
        <v>0</v>
      </c>
      <c r="G11" s="267">
        <f>E11-F11</f>
        <v>0</v>
      </c>
    </row>
    <row r="12" spans="2:8">
      <c r="B12" s="273"/>
      <c r="C12" s="274" t="str">
        <f>"Подконтрольные расходы план "&amp;'0. Анкета'!C15-3</f>
        <v>Подконтрольные расходы план 2021</v>
      </c>
      <c r="D12" s="275" t="s">
        <v>226</v>
      </c>
      <c r="E12" s="276"/>
      <c r="F12" s="276"/>
      <c r="G12" s="277"/>
      <c r="H12">
        <v>2021</v>
      </c>
    </row>
    <row r="13" spans="2:8">
      <c r="B13" s="273"/>
      <c r="C13" s="274" t="str">
        <f>"Подконтрольные расходы план "&amp;'0. Анкета'!C15-2</f>
        <v>Подконтрольные расходы план 2022</v>
      </c>
      <c r="D13" s="275" t="s">
        <v>226</v>
      </c>
      <c r="E13" s="276"/>
      <c r="F13" s="276"/>
      <c r="G13" s="277"/>
    </row>
    <row r="14" spans="2:8">
      <c r="B14" s="273"/>
      <c r="C14" s="274" t="s">
        <v>274</v>
      </c>
      <c r="D14" s="275" t="s">
        <v>268</v>
      </c>
      <c r="E14" s="269"/>
      <c r="F14" s="269"/>
      <c r="G14" s="270"/>
    </row>
    <row r="15" spans="2:8">
      <c r="B15" s="273"/>
      <c r="C15" s="274" t="str">
        <f>"ИПЦ "&amp;'0. Анкета'!C15-2&amp;" год"</f>
        <v>ИПЦ 2022 год</v>
      </c>
      <c r="D15" s="275" t="s">
        <v>268</v>
      </c>
      <c r="E15" s="269"/>
      <c r="F15" s="269"/>
      <c r="G15" s="270"/>
    </row>
    <row r="16" spans="2:8">
      <c r="B16" s="273"/>
      <c r="C16" s="274" t="s">
        <v>275</v>
      </c>
      <c r="D16" s="275" t="s">
        <v>268</v>
      </c>
      <c r="E16" s="269"/>
      <c r="F16" s="269"/>
      <c r="G16" s="270"/>
    </row>
    <row r="17" spans="2:7">
      <c r="B17" s="273"/>
      <c r="C17" s="274" t="str">
        <f>"ИКА факт "&amp;'0. Анкета'!C15-2&amp;" год"</f>
        <v>ИКА факт 2022 год</v>
      </c>
      <c r="D17" s="275" t="s">
        <v>268</v>
      </c>
      <c r="E17" s="278">
        <f>IF(E18=0,0,(E19-E18)/E18)</f>
        <v>0</v>
      </c>
      <c r="F17" s="278">
        <f>IF(F18=0,0,(F19-F18)/F18)</f>
        <v>0</v>
      </c>
      <c r="G17" s="278"/>
    </row>
    <row r="18" spans="2:7">
      <c r="B18" s="273"/>
      <c r="C18" s="274" t="str">
        <f>"У.е. факт "&amp;'0. Анкета'!C15-3&amp;" год"</f>
        <v>У.е. факт 2021 год</v>
      </c>
      <c r="D18" s="275" t="s">
        <v>276</v>
      </c>
      <c r="E18" s="276"/>
      <c r="F18" s="276"/>
      <c r="G18" s="277"/>
    </row>
    <row r="19" spans="2:7">
      <c r="B19" s="273"/>
      <c r="C19" s="274" t="str">
        <f>"У.е. факт "&amp;'0. Анкета'!C15-2&amp;" год"</f>
        <v>У.е. факт 2022 год</v>
      </c>
      <c r="D19" s="275" t="s">
        <v>276</v>
      </c>
      <c r="E19" s="276"/>
      <c r="F19" s="276"/>
      <c r="G19" s="277"/>
    </row>
    <row r="20" spans="2:7">
      <c r="B20" s="268" t="s">
        <v>277</v>
      </c>
      <c r="C20" s="271" t="s">
        <v>278</v>
      </c>
      <c r="D20" s="272" t="s">
        <v>226</v>
      </c>
      <c r="E20" s="267">
        <f>E21-E22</f>
        <v>0</v>
      </c>
      <c r="F20" s="267">
        <f>F21-F22</f>
        <v>0</v>
      </c>
      <c r="G20" s="267">
        <f>E20-F20</f>
        <v>0</v>
      </c>
    </row>
    <row r="21" spans="2:7">
      <c r="B21" s="273"/>
      <c r="C21" s="279" t="str">
        <f>"НР расх. факт "&amp;'0. Анкета'!C15-2&amp;" год"</f>
        <v>НР расх. факт 2022 год</v>
      </c>
      <c r="D21" s="275" t="s">
        <v>226</v>
      </c>
      <c r="E21" s="276"/>
      <c r="F21" s="276"/>
      <c r="G21" s="280"/>
    </row>
    <row r="22" spans="2:7">
      <c r="B22" s="273"/>
      <c r="C22" s="279" t="str">
        <f>"НР расх. план "&amp;'0. Анкета'!C15-2&amp;" год"</f>
        <v>НР расх. план 2022 год</v>
      </c>
      <c r="D22" s="275" t="s">
        <v>226</v>
      </c>
      <c r="E22" s="276"/>
      <c r="F22" s="276"/>
      <c r="G22" s="280"/>
    </row>
    <row r="23" spans="2:7" ht="25.5">
      <c r="B23" s="268" t="s">
        <v>279</v>
      </c>
      <c r="C23" s="271" t="s">
        <v>280</v>
      </c>
      <c r="D23" s="272" t="s">
        <v>226</v>
      </c>
      <c r="E23" s="267">
        <f>E24-E25</f>
        <v>0</v>
      </c>
      <c r="F23" s="267">
        <f>F24-F25</f>
        <v>0</v>
      </c>
      <c r="G23" s="267">
        <f>E23-F23</f>
        <v>0</v>
      </c>
    </row>
    <row r="24" spans="2:7">
      <c r="B24" s="273"/>
      <c r="C24" s="281" t="str">
        <f>"Уi-2 -  фактические расходы за "&amp;'0. Анкета'!C15-2&amp;" год"</f>
        <v>Уi-2 -  фактические расходы за 2022 год</v>
      </c>
      <c r="D24" s="275" t="s">
        <v>226</v>
      </c>
      <c r="E24" s="276"/>
      <c r="F24" s="276"/>
      <c r="G24" s="270"/>
    </row>
    <row r="25" spans="2:7">
      <c r="B25" s="273"/>
      <c r="C25" s="281" t="str">
        <f>"Уi-2  - плановые расходы на "&amp;'0. Анкета'!C15-2&amp;" год"</f>
        <v>Уi-2  - плановые расходы на 2022 год</v>
      </c>
      <c r="D25" s="275" t="s">
        <v>226</v>
      </c>
      <c r="E25" s="276"/>
      <c r="F25" s="276"/>
      <c r="G25" s="270"/>
    </row>
    <row r="26" spans="2:7">
      <c r="B26" s="268" t="s">
        <v>281</v>
      </c>
      <c r="C26" s="271" t="s">
        <v>282</v>
      </c>
      <c r="D26" s="272" t="s">
        <v>226</v>
      </c>
      <c r="E26" s="267">
        <f>E27-E28</f>
        <v>0</v>
      </c>
      <c r="F26" s="267">
        <f>F27-F28</f>
        <v>0</v>
      </c>
      <c r="G26" s="267">
        <f>E26-F26</f>
        <v>0</v>
      </c>
    </row>
    <row r="27" spans="2:7">
      <c r="B27" s="273"/>
      <c r="C27" s="281" t="str">
        <f>"НВВсод i-2  - НВВ в части содержания электрических сетей, план "&amp;'0. Анкета'!C15-2&amp;" год"</f>
        <v>НВВсод i-2  - НВВ в части содержания электрических сетей, план 2022 год</v>
      </c>
      <c r="D27" s="275" t="s">
        <v>226</v>
      </c>
      <c r="E27" s="276"/>
      <c r="F27" s="276"/>
      <c r="G27" s="277"/>
    </row>
    <row r="28" spans="2:7" ht="51.75" customHeight="1">
      <c r="B28" s="273"/>
      <c r="C28" s="281" t="str">
        <f>"НВВф i-2  - фактический объем выручки за услуги по передаче электрической энергии в части содержания сетей (с учетом фактически недополученной выручки по зависящим от сетевой организации причинам) за "&amp;'0. Анкета'!C15-2&amp;" год"</f>
        <v>НВВф i-2  - фактический объем выручки за услуги по передаче электрической энергии в части содержания сетей (с учетом фактически недополученной выручки по зависящим от сетевой организации причинам) за 2022 год</v>
      </c>
      <c r="D28" s="275" t="s">
        <v>226</v>
      </c>
      <c r="E28" s="276"/>
      <c r="F28" s="276"/>
      <c r="G28" s="277"/>
    </row>
    <row r="29" spans="2:7">
      <c r="B29" s="282" t="s">
        <v>283</v>
      </c>
      <c r="C29" s="271" t="s">
        <v>284</v>
      </c>
      <c r="D29" s="275" t="s">
        <v>226</v>
      </c>
      <c r="E29" s="267">
        <f>MIN(E30,E33*E31)*E32-E31*E33*E34</f>
        <v>0</v>
      </c>
      <c r="F29" s="267">
        <f>MIN(F30,F33*F31)*F32-F31*F33*F34</f>
        <v>0</v>
      </c>
      <c r="G29" s="267">
        <f>E29-F29</f>
        <v>0</v>
      </c>
    </row>
    <row r="30" spans="2:7" ht="25.5">
      <c r="B30" s="282"/>
      <c r="C30" s="281" t="str">
        <f>"П факт i-2 - величина фактических потерь электрической энергии в сетях в "&amp;'0. Анкета'!C15-2&amp;" году"</f>
        <v>П факт i-2 - величина фактических потерь электрической энергии в сетях в 2022 году</v>
      </c>
      <c r="D30" s="275" t="s">
        <v>249</v>
      </c>
      <c r="E30" s="276"/>
      <c r="F30" s="276"/>
      <c r="G30" s="277"/>
    </row>
    <row r="31" spans="2:7">
      <c r="B31" s="273"/>
      <c r="C31" s="274" t="str">
        <f>"Эотп.факт i-2 -  Фактический объем отпуска э/э в сеть ("&amp;'0. Анкета'!C15-2&amp;" год)"</f>
        <v>Эотп.факт i-2 -  Фактический объем отпуска э/э в сеть (2022 год)</v>
      </c>
      <c r="D31" s="275" t="s">
        <v>249</v>
      </c>
      <c r="E31" s="276"/>
      <c r="F31" s="276"/>
      <c r="G31" s="277"/>
    </row>
    <row r="32" spans="2:7">
      <c r="B32" s="273"/>
      <c r="C32" s="274" t="str">
        <f>"ЦП факт  i-2 -фактическая цена покупки потерь ("&amp;'0. Анкета'!C15-2&amp;" год)"</f>
        <v>ЦП факт  i-2 -фактическая цена покупки потерь (2022 год)</v>
      </c>
      <c r="D32" s="275" t="s">
        <v>285</v>
      </c>
      <c r="E32" s="276"/>
      <c r="F32" s="276"/>
      <c r="G32" s="277"/>
    </row>
    <row r="33" spans="2:7" ht="25.5">
      <c r="B33" s="273"/>
      <c r="C33" s="279" t="str">
        <f>"Ni-2 - уровень потерь э/э утвержденный на долгосрочный период, к которому относится "&amp;'0. Анкета'!C15-2&amp;" год"</f>
        <v>Ni-2 - уровень потерь э/э утвержденный на долгосрочный период, к которому относится 2022 год</v>
      </c>
      <c r="D33" s="275" t="s">
        <v>268</v>
      </c>
      <c r="E33" s="269"/>
      <c r="F33" s="269"/>
      <c r="G33" s="270"/>
    </row>
    <row r="34" spans="2:7">
      <c r="B34" s="273"/>
      <c r="C34" s="279" t="str">
        <f>"ЦП i-2 Прогнозная цена покупки потерь на "&amp;'0. Анкета'!C15-2&amp;" год"</f>
        <v>ЦП i-2 Прогнозная цена покупки потерь на 2022 год</v>
      </c>
      <c r="D34" s="275" t="s">
        <v>285</v>
      </c>
      <c r="E34" s="276"/>
      <c r="F34" s="276"/>
      <c r="G34" s="277"/>
    </row>
    <row r="35" spans="2:7">
      <c r="B35" s="268" t="s">
        <v>286</v>
      </c>
      <c r="C35" s="283" t="s">
        <v>287</v>
      </c>
      <c r="D35" s="272" t="s">
        <v>226</v>
      </c>
      <c r="E35" s="267">
        <f>E36-E40</f>
        <v>0</v>
      </c>
      <c r="F35" s="267">
        <f>F36-F40</f>
        <v>0</v>
      </c>
      <c r="G35" s="267">
        <f>E35-F35</f>
        <v>0</v>
      </c>
    </row>
    <row r="36" spans="2:7">
      <c r="B36" s="268"/>
      <c r="C36" s="281" t="str">
        <f>"B корр.ИП - корректировка связанная с неисполнением ИПР "&amp;'0. Анкета'!C15-2&amp;" год"</f>
        <v>B корр.ИП - корректировка связанная с неисполнением ИПР 2022 год</v>
      </c>
      <c r="D36" s="275" t="s">
        <v>226</v>
      </c>
      <c r="E36" s="267">
        <f>IFERROR((E37*(E38/E39-1)),0)</f>
        <v>0</v>
      </c>
      <c r="F36" s="267">
        <f>IFERROR((F37*(F38/F39-1)),0)</f>
        <v>0</v>
      </c>
      <c r="G36" s="267">
        <f>IFERROR(E36-F36,0)</f>
        <v>0</v>
      </c>
    </row>
    <row r="37" spans="2:7" ht="25.5">
      <c r="B37" s="273"/>
      <c r="C37" s="279" t="str">
        <f>"НР ип i-2 -расчетная величина cобственных средства на ИПР в НВВ на "&amp;'0. Анкета'!C15-2&amp;" год (для финансирования ИПР), учтенная при установлении тарифов"</f>
        <v>НР ип i-2 -расчетная величина cобственных средства на ИПР в НВВ на 2022 год (для финансирования ИПР), учтенная при установлении тарифов</v>
      </c>
      <c r="D37" s="275" t="s">
        <v>226</v>
      </c>
      <c r="E37" s="276"/>
      <c r="F37" s="276"/>
      <c r="G37" s="277"/>
    </row>
    <row r="38" spans="2:7" ht="25.5">
      <c r="B38" s="273"/>
      <c r="C38" s="279" t="str">
        <f>"ИП факт i-2 - объем фактического исполнения ИПР в "&amp;'0. Анкета'!C15-2&amp;" году в части, профинансированной за счет выручки по регулируемой деятельности"</f>
        <v>ИП факт i-2 - объем фактического исполнения ИПР в 2022 году в части, профинансированной за счет выручки по регулируемой деятельности</v>
      </c>
      <c r="D38" s="275" t="s">
        <v>226</v>
      </c>
      <c r="E38" s="276"/>
      <c r="F38" s="276"/>
      <c r="G38" s="277"/>
    </row>
    <row r="39" spans="2:7" ht="25.5">
      <c r="B39" s="273"/>
      <c r="C39" s="281" t="str">
        <f>"ИП заявл. i-2 - плановый размер финансирования ИПР (за счет выручки от регулируемой деятельности) "&amp;'0. Анкета'!C15-2&amp;" год"</f>
        <v>ИП заявл. i-2 - плановый размер финансирования ИПР (за счет выручки от регулируемой деятельности) 2022 год</v>
      </c>
      <c r="D39" s="275" t="s">
        <v>226</v>
      </c>
      <c r="E39" s="276"/>
      <c r="F39" s="276"/>
      <c r="G39" s="277"/>
    </row>
    <row r="40" spans="2:7">
      <c r="B40" s="273"/>
      <c r="C40" s="284" t="str">
        <f>"Вкорр.ИП "&amp;'0. Анкета'!C15-2&amp;" год 9 мес."</f>
        <v>Вкорр.ИП 2022 год 9 мес.</v>
      </c>
      <c r="D40" s="275" t="s">
        <v>226</v>
      </c>
      <c r="E40" s="276"/>
      <c r="F40" s="276"/>
      <c r="G40" s="267">
        <f>E40-F40</f>
        <v>0</v>
      </c>
    </row>
    <row r="41" spans="2:7">
      <c r="B41" s="268" t="s">
        <v>237</v>
      </c>
      <c r="C41" s="271" t="s">
        <v>288</v>
      </c>
      <c r="D41" s="272" t="s">
        <v>226</v>
      </c>
      <c r="E41" s="267">
        <f>E42*E43</f>
        <v>0</v>
      </c>
      <c r="F41" s="267">
        <f>F42*F43</f>
        <v>0</v>
      </c>
      <c r="G41" s="267">
        <f>E41-F41</f>
        <v>0</v>
      </c>
    </row>
    <row r="42" spans="2:7">
      <c r="B42" s="273"/>
      <c r="C42" s="279" t="str">
        <f>"Утврежденное НВВ на содержание сетей i-2 ("&amp;'0. Анкета'!C15-2&amp;" год)"</f>
        <v>Утврежденное НВВ на содержание сетей i-2 (2022 год)</v>
      </c>
      <c r="D42" s="275" t="s">
        <v>226</v>
      </c>
      <c r="E42" s="276"/>
      <c r="F42" s="276"/>
      <c r="G42" s="270"/>
    </row>
    <row r="43" spans="2:7">
      <c r="B43" s="273"/>
      <c r="C43" s="279" t="s">
        <v>289</v>
      </c>
      <c r="D43" s="285" t="s">
        <v>268</v>
      </c>
      <c r="E43" s="269"/>
      <c r="F43" s="269"/>
      <c r="G43" s="270"/>
    </row>
    <row r="44" spans="2:7" ht="38.25">
      <c r="B44" s="268" t="s">
        <v>290</v>
      </c>
      <c r="C44" s="271" t="s">
        <v>291</v>
      </c>
      <c r="D44" s="272" t="s">
        <v>226</v>
      </c>
      <c r="E44" s="276"/>
      <c r="F44" s="276"/>
      <c r="G44" s="267">
        <f>E44-F44</f>
        <v>0</v>
      </c>
    </row>
    <row r="45" spans="2:7" ht="51">
      <c r="B45" s="268" t="s">
        <v>292</v>
      </c>
      <c r="C45" s="271" t="s">
        <v>293</v>
      </c>
      <c r="D45" s="272" t="s">
        <v>226</v>
      </c>
      <c r="E45" s="276"/>
      <c r="F45" s="276"/>
      <c r="G45" s="267">
        <f>E45-F45</f>
        <v>0</v>
      </c>
    </row>
    <row r="46" spans="2:7">
      <c r="B46" s="268" t="s">
        <v>294</v>
      </c>
      <c r="C46" s="271" t="s">
        <v>2162</v>
      </c>
      <c r="D46" s="272" t="s">
        <v>226</v>
      </c>
      <c r="E46" s="276"/>
      <c r="F46" s="276"/>
      <c r="G46" s="267">
        <f>E46-F46</f>
        <v>0</v>
      </c>
    </row>
    <row r="47" spans="2:7">
      <c r="B47" s="268" t="s">
        <v>295</v>
      </c>
      <c r="C47" s="271" t="s">
        <v>2163</v>
      </c>
      <c r="D47" s="272" t="s">
        <v>226</v>
      </c>
      <c r="E47" s="276"/>
      <c r="F47" s="276"/>
      <c r="G47" s="267">
        <f>E47-F47</f>
        <v>0</v>
      </c>
    </row>
  </sheetData>
  <sheetProtection formatColumns="0" formatRows="0" insertHyperlinks="0"/>
  <mergeCells count="1">
    <mergeCell ref="B3:G3"/>
  </mergeCells>
  <hyperlinks>
    <hyperlink ref="B1" location="'Перечень форм для заполнения'!A1" display="Вернуться к перечню форм"/>
  </hyperlinks>
  <pageMargins left="0.7" right="0.7" top="0.75" bottom="0.75" header="0.3" footer="0.3"/>
  <pageSetup paperSize="9" scale="7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B1:L47"/>
  <sheetViews>
    <sheetView showGridLines="0" zoomScale="85" zoomScaleNormal="85" workbookViewId="0">
      <selection activeCell="B34" sqref="B34"/>
    </sheetView>
  </sheetViews>
  <sheetFormatPr defaultColWidth="9.140625" defaultRowHeight="12.75"/>
  <cols>
    <col min="1" max="1" width="3.7109375" style="212" customWidth="1"/>
    <col min="2" max="2" width="9.140625" style="722"/>
    <col min="3" max="3" width="18.42578125" style="212" customWidth="1"/>
    <col min="4" max="4" width="24.28515625" style="212" customWidth="1"/>
    <col min="5" max="5" width="8.85546875" style="212" customWidth="1"/>
    <col min="6" max="6" width="13.28515625" style="212" customWidth="1"/>
    <col min="7" max="7" width="19.140625" style="212" customWidth="1"/>
    <col min="8" max="8" width="20.42578125" style="212" customWidth="1"/>
    <col min="9" max="9" width="35" style="212" customWidth="1"/>
    <col min="10" max="10" width="30.85546875" style="212" customWidth="1"/>
    <col min="11" max="11" width="24.140625" style="212" customWidth="1"/>
    <col min="12" max="12" width="13.5703125" style="212" customWidth="1"/>
    <col min="13" max="16384" width="9.140625" style="212"/>
  </cols>
  <sheetData>
    <row r="1" spans="2:12">
      <c r="B1" s="389" t="s">
        <v>210</v>
      </c>
      <c r="E1" s="585"/>
      <c r="F1" s="585"/>
      <c r="G1" s="585"/>
      <c r="H1" s="585"/>
      <c r="I1" s="585"/>
      <c r="J1" s="585"/>
      <c r="K1" s="585"/>
      <c r="L1" s="585"/>
    </row>
    <row r="2" spans="2:12">
      <c r="B2" s="2474"/>
      <c r="C2" s="2474"/>
      <c r="D2" s="2474"/>
      <c r="E2" s="2474"/>
      <c r="F2" s="2474"/>
      <c r="G2" s="2474"/>
      <c r="H2" s="2474"/>
      <c r="I2" s="2474"/>
      <c r="J2" s="2474"/>
      <c r="K2" s="992"/>
      <c r="L2" s="992"/>
    </row>
    <row r="3" spans="2:12" ht="18.75">
      <c r="B3" s="2475" t="s">
        <v>873</v>
      </c>
      <c r="C3" s="2475"/>
      <c r="D3" s="2475"/>
      <c r="E3" s="2475"/>
      <c r="F3" s="2475"/>
      <c r="G3" s="2475"/>
      <c r="H3" s="2475"/>
      <c r="I3" s="2475"/>
      <c r="J3" s="2475"/>
      <c r="K3" s="2475"/>
      <c r="L3" s="2475"/>
    </row>
    <row r="5" spans="2:12" ht="14.25">
      <c r="B5" s="2422" t="str">
        <f>"Доходы по депозитам на "&amp;'0. Анкета'!C15-2&amp;"* год (фактические значения)"</f>
        <v>Доходы по депозитам на 2022* год (фактические значения)</v>
      </c>
      <c r="C5" s="2422"/>
      <c r="D5" s="2422"/>
      <c r="E5" s="2422"/>
      <c r="F5" s="2422"/>
      <c r="G5" s="2422"/>
      <c r="H5" s="2422"/>
      <c r="I5" s="2422"/>
      <c r="J5" s="2422"/>
      <c r="K5" s="2422"/>
      <c r="L5" s="2422"/>
    </row>
    <row r="6" spans="2:12">
      <c r="B6" s="943"/>
      <c r="C6" s="585"/>
      <c r="D6" s="585"/>
      <c r="E6" s="585"/>
      <c r="F6" s="585"/>
      <c r="G6" s="585"/>
      <c r="H6" s="585"/>
      <c r="I6" s="585"/>
      <c r="J6" s="585"/>
      <c r="K6" s="585"/>
      <c r="L6" s="585"/>
    </row>
    <row r="7" spans="2:12" ht="25.5">
      <c r="B7" s="993" t="s">
        <v>12</v>
      </c>
      <c r="C7" s="994" t="s">
        <v>411</v>
      </c>
      <c r="D7" s="994" t="s">
        <v>843</v>
      </c>
      <c r="E7" s="994" t="s">
        <v>874</v>
      </c>
      <c r="F7" s="994" t="s">
        <v>845</v>
      </c>
      <c r="G7" s="994" t="s">
        <v>875</v>
      </c>
      <c r="H7" s="994" t="s">
        <v>876</v>
      </c>
      <c r="I7" s="994" t="s">
        <v>877</v>
      </c>
      <c r="J7" s="994" t="s">
        <v>878</v>
      </c>
      <c r="K7" s="994" t="s">
        <v>879</v>
      </c>
      <c r="L7" s="994" t="s">
        <v>15</v>
      </c>
    </row>
    <row r="8" spans="2:12">
      <c r="B8" s="944">
        <v>1</v>
      </c>
      <c r="C8" s="945">
        <v>2</v>
      </c>
      <c r="D8" s="945">
        <v>3</v>
      </c>
      <c r="E8" s="945">
        <v>4</v>
      </c>
      <c r="F8" s="945">
        <v>5</v>
      </c>
      <c r="G8" s="945">
        <v>6</v>
      </c>
      <c r="H8" s="945">
        <v>7</v>
      </c>
      <c r="I8" s="945">
        <v>8</v>
      </c>
      <c r="J8" s="945">
        <v>9</v>
      </c>
      <c r="K8" s="945">
        <v>10</v>
      </c>
      <c r="L8" s="945">
        <v>11</v>
      </c>
    </row>
    <row r="9" spans="2:12">
      <c r="B9" s="995">
        <f>ROW()-ROW(B$8)</f>
        <v>1</v>
      </c>
      <c r="C9" s="954"/>
      <c r="D9" s="954"/>
      <c r="E9" s="954"/>
      <c r="F9" s="950"/>
      <c r="G9" s="950"/>
      <c r="H9" s="950"/>
      <c r="I9" s="996"/>
      <c r="J9" s="996"/>
      <c r="K9" s="955">
        <f>G9+I9-J9</f>
        <v>0</v>
      </c>
      <c r="L9" s="997"/>
    </row>
    <row r="10" spans="2:12">
      <c r="B10" s="995">
        <f t="shared" ref="B10:B18" si="0">ROW()-ROW(B$8)</f>
        <v>2</v>
      </c>
      <c r="C10" s="954"/>
      <c r="D10" s="954"/>
      <c r="E10" s="954"/>
      <c r="F10" s="950"/>
      <c r="G10" s="950"/>
      <c r="H10" s="950"/>
      <c r="I10" s="996"/>
      <c r="J10" s="996"/>
      <c r="K10" s="955">
        <f t="shared" ref="K10:K18" si="1">G10+I10-J10</f>
        <v>0</v>
      </c>
      <c r="L10" s="997"/>
    </row>
    <row r="11" spans="2:12">
      <c r="B11" s="995">
        <f t="shared" si="0"/>
        <v>3</v>
      </c>
      <c r="C11" s="954"/>
      <c r="D11" s="954"/>
      <c r="E11" s="954"/>
      <c r="F11" s="950"/>
      <c r="G11" s="950"/>
      <c r="H11" s="950"/>
      <c r="I11" s="996"/>
      <c r="J11" s="996"/>
      <c r="K11" s="955">
        <f t="shared" si="1"/>
        <v>0</v>
      </c>
      <c r="L11" s="997"/>
    </row>
    <row r="12" spans="2:12">
      <c r="B12" s="995">
        <f t="shared" si="0"/>
        <v>4</v>
      </c>
      <c r="C12" s="954"/>
      <c r="D12" s="954"/>
      <c r="E12" s="954"/>
      <c r="F12" s="950"/>
      <c r="G12" s="950"/>
      <c r="H12" s="950"/>
      <c r="I12" s="996"/>
      <c r="J12" s="996"/>
      <c r="K12" s="955">
        <f t="shared" si="1"/>
        <v>0</v>
      </c>
      <c r="L12" s="997"/>
    </row>
    <row r="13" spans="2:12">
      <c r="B13" s="995">
        <f t="shared" si="0"/>
        <v>5</v>
      </c>
      <c r="C13" s="954"/>
      <c r="D13" s="954"/>
      <c r="E13" s="954"/>
      <c r="F13" s="950"/>
      <c r="G13" s="950"/>
      <c r="H13" s="950"/>
      <c r="I13" s="996"/>
      <c r="J13" s="996"/>
      <c r="K13" s="955">
        <f t="shared" si="1"/>
        <v>0</v>
      </c>
      <c r="L13" s="997"/>
    </row>
    <row r="14" spans="2:12">
      <c r="B14" s="995">
        <f t="shared" si="0"/>
        <v>6</v>
      </c>
      <c r="C14" s="954"/>
      <c r="D14" s="954"/>
      <c r="E14" s="954"/>
      <c r="F14" s="950"/>
      <c r="G14" s="950"/>
      <c r="H14" s="950"/>
      <c r="I14" s="996"/>
      <c r="J14" s="996"/>
      <c r="K14" s="955">
        <f t="shared" si="1"/>
        <v>0</v>
      </c>
      <c r="L14" s="997"/>
    </row>
    <row r="15" spans="2:12">
      <c r="B15" s="995">
        <f t="shared" si="0"/>
        <v>7</v>
      </c>
      <c r="C15" s="954"/>
      <c r="D15" s="954"/>
      <c r="E15" s="954"/>
      <c r="F15" s="950"/>
      <c r="G15" s="950"/>
      <c r="H15" s="950"/>
      <c r="I15" s="996"/>
      <c r="J15" s="996"/>
      <c r="K15" s="955">
        <f t="shared" si="1"/>
        <v>0</v>
      </c>
      <c r="L15" s="997"/>
    </row>
    <row r="16" spans="2:12">
      <c r="B16" s="995">
        <f t="shared" si="0"/>
        <v>8</v>
      </c>
      <c r="C16" s="954"/>
      <c r="D16" s="954"/>
      <c r="E16" s="954"/>
      <c r="F16" s="950"/>
      <c r="G16" s="950"/>
      <c r="H16" s="950"/>
      <c r="I16" s="996"/>
      <c r="J16" s="996"/>
      <c r="K16" s="955">
        <f t="shared" si="1"/>
        <v>0</v>
      </c>
      <c r="L16" s="997"/>
    </row>
    <row r="17" spans="2:12">
      <c r="B17" s="995">
        <f t="shared" si="0"/>
        <v>9</v>
      </c>
      <c r="C17" s="954"/>
      <c r="D17" s="954"/>
      <c r="E17" s="954"/>
      <c r="F17" s="950"/>
      <c r="G17" s="950"/>
      <c r="H17" s="950"/>
      <c r="I17" s="996"/>
      <c r="J17" s="996"/>
      <c r="K17" s="955">
        <f t="shared" si="1"/>
        <v>0</v>
      </c>
      <c r="L17" s="997"/>
    </row>
    <row r="18" spans="2:12">
      <c r="B18" s="995">
        <f t="shared" si="0"/>
        <v>10</v>
      </c>
      <c r="C18" s="954"/>
      <c r="D18" s="954"/>
      <c r="E18" s="954"/>
      <c r="F18" s="950"/>
      <c r="G18" s="950"/>
      <c r="H18" s="950"/>
      <c r="I18" s="996"/>
      <c r="J18" s="996"/>
      <c r="K18" s="955">
        <f t="shared" si="1"/>
        <v>0</v>
      </c>
      <c r="L18" s="997"/>
    </row>
    <row r="19" spans="2:12">
      <c r="B19" s="737"/>
      <c r="C19" s="473" t="s">
        <v>7</v>
      </c>
      <c r="D19" s="736"/>
      <c r="E19" s="736"/>
      <c r="F19" s="738"/>
      <c r="G19" s="738"/>
      <c r="H19" s="738"/>
      <c r="I19" s="738"/>
      <c r="J19" s="738"/>
      <c r="K19" s="738"/>
      <c r="L19" s="940"/>
    </row>
    <row r="21" spans="2:12" ht="14.25">
      <c r="B21" s="2422" t="str">
        <f>"Доходы по депозитам на "&amp;'0. Анкета'!C15-1&amp;"* год (прогнозные значения)"</f>
        <v>Доходы по депозитам на 2023* год (прогнозные значения)</v>
      </c>
      <c r="C21" s="2422"/>
      <c r="D21" s="2422"/>
      <c r="E21" s="2422"/>
      <c r="F21" s="2422"/>
      <c r="G21" s="2422"/>
      <c r="H21" s="2422"/>
      <c r="I21" s="2422"/>
      <c r="J21" s="2422"/>
      <c r="K21" s="2422"/>
      <c r="L21" s="2422"/>
    </row>
    <row r="22" spans="2:12">
      <c r="B22" s="943"/>
      <c r="C22" s="585"/>
      <c r="D22" s="585"/>
      <c r="E22" s="585"/>
      <c r="F22" s="585"/>
      <c r="G22" s="585"/>
      <c r="H22" s="585"/>
      <c r="I22" s="585"/>
      <c r="J22" s="585"/>
      <c r="K22" s="585"/>
      <c r="L22" s="585"/>
    </row>
    <row r="23" spans="2:12" ht="25.5">
      <c r="B23" s="993" t="s">
        <v>12</v>
      </c>
      <c r="C23" s="994" t="s">
        <v>411</v>
      </c>
      <c r="D23" s="994" t="s">
        <v>843</v>
      </c>
      <c r="E23" s="994" t="s">
        <v>874</v>
      </c>
      <c r="F23" s="994" t="s">
        <v>845</v>
      </c>
      <c r="G23" s="994" t="s">
        <v>875</v>
      </c>
      <c r="H23" s="994" t="s">
        <v>876</v>
      </c>
      <c r="I23" s="994" t="s">
        <v>877</v>
      </c>
      <c r="J23" s="994" t="s">
        <v>878</v>
      </c>
      <c r="K23" s="994" t="s">
        <v>879</v>
      </c>
      <c r="L23" s="994" t="s">
        <v>15</v>
      </c>
    </row>
    <row r="24" spans="2:12">
      <c r="B24" s="944">
        <v>1</v>
      </c>
      <c r="C24" s="945">
        <v>2</v>
      </c>
      <c r="D24" s="945">
        <v>3</v>
      </c>
      <c r="E24" s="945">
        <v>4</v>
      </c>
      <c r="F24" s="945">
        <v>5</v>
      </c>
      <c r="G24" s="945">
        <v>6</v>
      </c>
      <c r="H24" s="945">
        <v>7</v>
      </c>
      <c r="I24" s="945">
        <v>8</v>
      </c>
      <c r="J24" s="945">
        <v>9</v>
      </c>
      <c r="K24" s="945">
        <v>10</v>
      </c>
      <c r="L24" s="945">
        <v>11</v>
      </c>
    </row>
    <row r="25" spans="2:12">
      <c r="B25" s="995">
        <f t="shared" ref="B25:B30" si="2">ROW()-ROW(B$24)</f>
        <v>1</v>
      </c>
      <c r="C25" s="954"/>
      <c r="D25" s="954"/>
      <c r="E25" s="954"/>
      <c r="F25" s="950"/>
      <c r="G25" s="950"/>
      <c r="H25" s="950"/>
      <c r="I25" s="996"/>
      <c r="J25" s="996"/>
      <c r="K25" s="955">
        <f t="shared" ref="K25:K30" si="3">G25+I25-J25</f>
        <v>0</v>
      </c>
      <c r="L25" s="997"/>
    </row>
    <row r="26" spans="2:12">
      <c r="B26" s="995">
        <f t="shared" si="2"/>
        <v>2</v>
      </c>
      <c r="C26" s="954"/>
      <c r="D26" s="954"/>
      <c r="E26" s="954"/>
      <c r="F26" s="950"/>
      <c r="G26" s="950"/>
      <c r="H26" s="950"/>
      <c r="I26" s="996"/>
      <c r="J26" s="996"/>
      <c r="K26" s="955">
        <f t="shared" si="3"/>
        <v>0</v>
      </c>
      <c r="L26" s="997"/>
    </row>
    <row r="27" spans="2:12">
      <c r="B27" s="995">
        <f t="shared" si="2"/>
        <v>3</v>
      </c>
      <c r="C27" s="954"/>
      <c r="D27" s="954"/>
      <c r="E27" s="954"/>
      <c r="F27" s="950"/>
      <c r="G27" s="950"/>
      <c r="H27" s="950"/>
      <c r="I27" s="996"/>
      <c r="J27" s="996"/>
      <c r="K27" s="955">
        <f t="shared" si="3"/>
        <v>0</v>
      </c>
      <c r="L27" s="997"/>
    </row>
    <row r="28" spans="2:12">
      <c r="B28" s="995">
        <f t="shared" si="2"/>
        <v>4</v>
      </c>
      <c r="C28" s="954"/>
      <c r="D28" s="954"/>
      <c r="E28" s="954"/>
      <c r="F28" s="950"/>
      <c r="G28" s="950"/>
      <c r="H28" s="950"/>
      <c r="I28" s="996"/>
      <c r="J28" s="996"/>
      <c r="K28" s="955">
        <f t="shared" si="3"/>
        <v>0</v>
      </c>
      <c r="L28" s="997"/>
    </row>
    <row r="29" spans="2:12">
      <c r="B29" s="995">
        <f t="shared" si="2"/>
        <v>5</v>
      </c>
      <c r="C29" s="954"/>
      <c r="D29" s="954"/>
      <c r="E29" s="954"/>
      <c r="F29" s="950"/>
      <c r="G29" s="950"/>
      <c r="H29" s="950"/>
      <c r="I29" s="996"/>
      <c r="J29" s="996"/>
      <c r="K29" s="955">
        <f t="shared" si="3"/>
        <v>0</v>
      </c>
      <c r="L29" s="997"/>
    </row>
    <row r="30" spans="2:12">
      <c r="B30" s="995">
        <f t="shared" si="2"/>
        <v>6</v>
      </c>
      <c r="C30" s="954"/>
      <c r="D30" s="954"/>
      <c r="E30" s="954"/>
      <c r="F30" s="950"/>
      <c r="G30" s="950"/>
      <c r="H30" s="950"/>
      <c r="I30" s="996"/>
      <c r="J30" s="996"/>
      <c r="K30" s="955">
        <f t="shared" si="3"/>
        <v>0</v>
      </c>
      <c r="L30" s="997"/>
    </row>
    <row r="31" spans="2:12">
      <c r="B31" s="737"/>
      <c r="C31" s="473" t="s">
        <v>7</v>
      </c>
      <c r="D31" s="736"/>
      <c r="E31" s="736"/>
      <c r="F31" s="738"/>
      <c r="G31" s="738"/>
      <c r="H31" s="738"/>
      <c r="I31" s="738"/>
      <c r="J31" s="738"/>
      <c r="K31" s="738"/>
      <c r="L31" s="940"/>
    </row>
    <row r="33" spans="2:12" ht="14.25">
      <c r="B33" s="2422" t="str">
        <f>"Доходы по депозитам на "&amp;'0. Анкета'!C15&amp;"* год (прогнозные значения)"</f>
        <v>Доходы по депозитам на 2024* год (прогнозные значения)</v>
      </c>
      <c r="C33" s="2422"/>
      <c r="D33" s="2422"/>
      <c r="E33" s="2422"/>
      <c r="F33" s="2422"/>
      <c r="G33" s="2422"/>
      <c r="H33" s="2422"/>
      <c r="I33" s="2422"/>
      <c r="J33" s="2422"/>
      <c r="K33" s="2422"/>
      <c r="L33" s="2422"/>
    </row>
    <row r="34" spans="2:12">
      <c r="B34" s="943"/>
      <c r="C34" s="585"/>
      <c r="D34" s="585"/>
      <c r="E34" s="585"/>
      <c r="F34" s="585"/>
      <c r="G34" s="585"/>
      <c r="H34" s="585"/>
      <c r="I34" s="585"/>
      <c r="J34" s="585"/>
      <c r="K34" s="585"/>
      <c r="L34" s="585"/>
    </row>
    <row r="35" spans="2:12" ht="25.5">
      <c r="B35" s="993" t="s">
        <v>12</v>
      </c>
      <c r="C35" s="994" t="s">
        <v>411</v>
      </c>
      <c r="D35" s="994" t="s">
        <v>843</v>
      </c>
      <c r="E35" s="994" t="s">
        <v>874</v>
      </c>
      <c r="F35" s="994" t="s">
        <v>845</v>
      </c>
      <c r="G35" s="994" t="s">
        <v>875</v>
      </c>
      <c r="H35" s="994" t="s">
        <v>876</v>
      </c>
      <c r="I35" s="994" t="s">
        <v>877</v>
      </c>
      <c r="J35" s="994" t="s">
        <v>878</v>
      </c>
      <c r="K35" s="994" t="s">
        <v>879</v>
      </c>
      <c r="L35" s="994" t="s">
        <v>15</v>
      </c>
    </row>
    <row r="36" spans="2:12">
      <c r="B36" s="944">
        <v>1</v>
      </c>
      <c r="C36" s="945">
        <v>2</v>
      </c>
      <c r="D36" s="945">
        <v>3</v>
      </c>
      <c r="E36" s="945">
        <v>4</v>
      </c>
      <c r="F36" s="945">
        <v>5</v>
      </c>
      <c r="G36" s="945">
        <v>6</v>
      </c>
      <c r="H36" s="945">
        <v>7</v>
      </c>
      <c r="I36" s="945">
        <v>8</v>
      </c>
      <c r="J36" s="945">
        <v>9</v>
      </c>
      <c r="K36" s="945">
        <v>10</v>
      </c>
      <c r="L36" s="945">
        <v>11</v>
      </c>
    </row>
    <row r="37" spans="2:12">
      <c r="B37" s="995">
        <f>ROW()-ROW(B$36)</f>
        <v>1</v>
      </c>
      <c r="C37" s="954"/>
      <c r="D37" s="954"/>
      <c r="E37" s="954"/>
      <c r="F37" s="950"/>
      <c r="G37" s="950"/>
      <c r="H37" s="950"/>
      <c r="I37" s="950"/>
      <c r="J37" s="950"/>
      <c r="K37" s="998">
        <f>G37+I37-J37</f>
        <v>0</v>
      </c>
      <c r="L37" s="997"/>
    </row>
    <row r="38" spans="2:12">
      <c r="B38" s="995">
        <f t="shared" ref="B38:B46" si="4">ROW()-ROW(B$36)</f>
        <v>2</v>
      </c>
      <c r="C38" s="954"/>
      <c r="D38" s="954"/>
      <c r="E38" s="954"/>
      <c r="F38" s="950"/>
      <c r="G38" s="950"/>
      <c r="H38" s="950"/>
      <c r="I38" s="950"/>
      <c r="J38" s="950"/>
      <c r="K38" s="998">
        <f t="shared" ref="K38:K46" si="5">G38+I38-J38</f>
        <v>0</v>
      </c>
      <c r="L38" s="997"/>
    </row>
    <row r="39" spans="2:12">
      <c r="B39" s="995">
        <f t="shared" si="4"/>
        <v>3</v>
      </c>
      <c r="C39" s="954"/>
      <c r="D39" s="954"/>
      <c r="E39" s="954"/>
      <c r="F39" s="950"/>
      <c r="G39" s="950"/>
      <c r="H39" s="950"/>
      <c r="I39" s="950"/>
      <c r="J39" s="950"/>
      <c r="K39" s="998">
        <f t="shared" si="5"/>
        <v>0</v>
      </c>
      <c r="L39" s="997"/>
    </row>
    <row r="40" spans="2:12">
      <c r="B40" s="995">
        <f t="shared" si="4"/>
        <v>4</v>
      </c>
      <c r="C40" s="954"/>
      <c r="D40" s="954"/>
      <c r="E40" s="954"/>
      <c r="F40" s="950"/>
      <c r="G40" s="950"/>
      <c r="H40" s="950"/>
      <c r="I40" s="950"/>
      <c r="J40" s="950"/>
      <c r="K40" s="998">
        <f t="shared" si="5"/>
        <v>0</v>
      </c>
      <c r="L40" s="997"/>
    </row>
    <row r="41" spans="2:12">
      <c r="B41" s="995">
        <f t="shared" si="4"/>
        <v>5</v>
      </c>
      <c r="C41" s="954"/>
      <c r="D41" s="954"/>
      <c r="E41" s="954"/>
      <c r="F41" s="950"/>
      <c r="G41" s="950"/>
      <c r="H41" s="950"/>
      <c r="I41" s="950"/>
      <c r="J41" s="950"/>
      <c r="K41" s="998">
        <f t="shared" si="5"/>
        <v>0</v>
      </c>
      <c r="L41" s="997"/>
    </row>
    <row r="42" spans="2:12">
      <c r="B42" s="995">
        <f t="shared" si="4"/>
        <v>6</v>
      </c>
      <c r="C42" s="954"/>
      <c r="D42" s="954"/>
      <c r="E42" s="954"/>
      <c r="F42" s="950"/>
      <c r="G42" s="950"/>
      <c r="H42" s="950"/>
      <c r="I42" s="950"/>
      <c r="J42" s="950"/>
      <c r="K42" s="998">
        <f t="shared" si="5"/>
        <v>0</v>
      </c>
      <c r="L42" s="997"/>
    </row>
    <row r="43" spans="2:12">
      <c r="B43" s="995">
        <f t="shared" si="4"/>
        <v>7</v>
      </c>
      <c r="C43" s="954"/>
      <c r="D43" s="954"/>
      <c r="E43" s="954"/>
      <c r="F43" s="950"/>
      <c r="G43" s="950"/>
      <c r="H43" s="950"/>
      <c r="I43" s="950"/>
      <c r="J43" s="950"/>
      <c r="K43" s="998">
        <f t="shared" si="5"/>
        <v>0</v>
      </c>
      <c r="L43" s="997"/>
    </row>
    <row r="44" spans="2:12">
      <c r="B44" s="995">
        <f t="shared" si="4"/>
        <v>8</v>
      </c>
      <c r="C44" s="954"/>
      <c r="D44" s="954"/>
      <c r="E44" s="954"/>
      <c r="F44" s="950"/>
      <c r="G44" s="950"/>
      <c r="H44" s="950"/>
      <c r="I44" s="950"/>
      <c r="J44" s="950"/>
      <c r="K44" s="998">
        <f t="shared" si="5"/>
        <v>0</v>
      </c>
      <c r="L44" s="997"/>
    </row>
    <row r="45" spans="2:12">
      <c r="B45" s="995">
        <f t="shared" si="4"/>
        <v>9</v>
      </c>
      <c r="C45" s="954"/>
      <c r="D45" s="954"/>
      <c r="E45" s="954"/>
      <c r="F45" s="950"/>
      <c r="G45" s="950"/>
      <c r="H45" s="950"/>
      <c r="I45" s="950"/>
      <c r="J45" s="950"/>
      <c r="K45" s="998">
        <f t="shared" si="5"/>
        <v>0</v>
      </c>
      <c r="L45" s="997"/>
    </row>
    <row r="46" spans="2:12">
      <c r="B46" s="995">
        <f t="shared" si="4"/>
        <v>10</v>
      </c>
      <c r="C46" s="954"/>
      <c r="D46" s="954"/>
      <c r="E46" s="954"/>
      <c r="F46" s="950"/>
      <c r="G46" s="950"/>
      <c r="H46" s="950"/>
      <c r="I46" s="950"/>
      <c r="J46" s="950"/>
      <c r="K46" s="998">
        <f t="shared" si="5"/>
        <v>0</v>
      </c>
      <c r="L46" s="997"/>
    </row>
    <row r="47" spans="2:12">
      <c r="B47" s="737"/>
      <c r="C47" s="473" t="s">
        <v>7</v>
      </c>
      <c r="D47" s="736"/>
      <c r="E47" s="736"/>
      <c r="F47" s="738"/>
      <c r="G47" s="738"/>
      <c r="H47" s="738"/>
      <c r="I47" s="738"/>
      <c r="J47" s="738"/>
      <c r="K47" s="738"/>
      <c r="L47" s="940"/>
    </row>
  </sheetData>
  <sheetProtection formatColumns="0" formatRows="0" insertHyperlinks="0"/>
  <mergeCells count="5">
    <mergeCell ref="B2:J2"/>
    <mergeCell ref="B3:L3"/>
    <mergeCell ref="B5:L5"/>
    <mergeCell ref="B21:L21"/>
    <mergeCell ref="B33:L33"/>
  </mergeCells>
  <hyperlinks>
    <hyperlink ref="B1" location="'Перечень форм для заполнения'!A1" display="Вернуться к перечню форм"/>
    <hyperlink ref="C19" location="'25 (депозиты)'!A1" display="Добавить"/>
    <hyperlink ref="C31" location="'25 (депозиты)'!A1" display="Добавить"/>
    <hyperlink ref="C47" location="'25 (депозиты)'!A1" display="Добавить"/>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B1:K51"/>
  <sheetViews>
    <sheetView showGridLines="0" zoomScale="70" zoomScaleNormal="70" workbookViewId="0">
      <selection activeCell="O49" sqref="O49"/>
    </sheetView>
  </sheetViews>
  <sheetFormatPr defaultColWidth="9.140625" defaultRowHeight="12.75"/>
  <cols>
    <col min="1" max="1" width="3.7109375" style="212" customWidth="1"/>
    <col min="2" max="2" width="11.7109375" style="212" customWidth="1"/>
    <col min="3" max="3" width="41.7109375" style="212" customWidth="1"/>
    <col min="4" max="4" width="17.85546875" style="212" customWidth="1"/>
    <col min="5" max="5" width="18.28515625" style="999" customWidth="1"/>
    <col min="6" max="6" width="23.85546875" style="212" customWidth="1"/>
    <col min="7" max="8" width="25.140625" style="212" customWidth="1"/>
    <col min="9" max="9" width="21" style="212" customWidth="1"/>
    <col min="10" max="10" width="19.42578125" style="212" customWidth="1"/>
    <col min="11" max="11" width="20" style="212" customWidth="1"/>
    <col min="12" max="16384" width="9.140625" style="212"/>
  </cols>
  <sheetData>
    <row r="1" spans="2:11">
      <c r="B1" s="2379" t="s">
        <v>210</v>
      </c>
      <c r="C1" s="2379"/>
      <c r="K1" s="233"/>
    </row>
    <row r="2" spans="2:11">
      <c r="B2" s="529"/>
      <c r="C2" s="289"/>
      <c r="K2" s="233"/>
    </row>
    <row r="3" spans="2:11">
      <c r="B3" s="529"/>
      <c r="C3" s="289"/>
      <c r="K3" s="233"/>
    </row>
    <row r="4" spans="2:11" ht="24" customHeight="1">
      <c r="B4" s="2307" t="s">
        <v>880</v>
      </c>
      <c r="C4" s="2307"/>
      <c r="D4" s="2307"/>
      <c r="E4" s="2307"/>
      <c r="F4" s="2307"/>
      <c r="G4" s="2307"/>
      <c r="H4" s="2307"/>
      <c r="I4" s="2307"/>
      <c r="J4" s="2307"/>
      <c r="K4" s="2307"/>
    </row>
    <row r="5" spans="2:11" ht="24" customHeight="1">
      <c r="B5" s="2307"/>
      <c r="C5" s="2307"/>
      <c r="D5" s="2307"/>
      <c r="E5" s="2307"/>
      <c r="F5" s="2307"/>
      <c r="G5" s="2307"/>
      <c r="H5" s="2307"/>
      <c r="I5" s="2307"/>
      <c r="J5" s="2307"/>
      <c r="K5" s="2307"/>
    </row>
    <row r="6" spans="2:11" ht="24" customHeight="1">
      <c r="B6" s="2307"/>
      <c r="C6" s="2307"/>
      <c r="D6" s="2307"/>
      <c r="E6" s="2307"/>
      <c r="F6" s="2307"/>
      <c r="G6" s="2307"/>
      <c r="H6" s="2307"/>
      <c r="I6" s="2307"/>
      <c r="J6" s="2307"/>
      <c r="K6" s="2307"/>
    </row>
    <row r="7" spans="2:11" ht="24" customHeight="1">
      <c r="B7" s="2477" t="str">
        <f>'0. Анкета'!C15-2&amp;" год"</f>
        <v>2022 год</v>
      </c>
      <c r="C7" s="2477"/>
      <c r="D7" s="2477"/>
      <c r="E7" s="2477"/>
      <c r="F7" s="2477"/>
      <c r="G7" s="2477"/>
      <c r="H7" s="2477"/>
      <c r="I7" s="2477"/>
      <c r="J7" s="2477"/>
      <c r="K7" s="2477"/>
    </row>
    <row r="8" spans="2:11">
      <c r="B8" s="529"/>
      <c r="C8" s="533"/>
      <c r="D8" s="1000"/>
      <c r="E8" s="1001"/>
      <c r="F8" s="1000"/>
      <c r="G8" s="1000"/>
      <c r="H8" s="1000"/>
      <c r="I8" s="1000"/>
      <c r="J8" s="1000"/>
      <c r="K8" s="1002"/>
    </row>
    <row r="9" spans="2:11" ht="13.15" customHeight="1">
      <c r="B9" s="2478" t="s">
        <v>12</v>
      </c>
      <c r="C9" s="2478" t="s">
        <v>881</v>
      </c>
      <c r="D9" s="2478" t="s">
        <v>882</v>
      </c>
      <c r="E9" s="2478"/>
      <c r="F9" s="2478"/>
      <c r="G9" s="2478"/>
      <c r="H9" s="1003"/>
      <c r="I9" s="2478" t="s">
        <v>883</v>
      </c>
      <c r="J9" s="2478" t="s">
        <v>884</v>
      </c>
      <c r="K9" s="2478" t="s">
        <v>885</v>
      </c>
    </row>
    <row r="10" spans="2:11" ht="63">
      <c r="B10" s="2478"/>
      <c r="C10" s="2478"/>
      <c r="D10" s="2478" t="s">
        <v>886</v>
      </c>
      <c r="E10" s="2476" t="s">
        <v>887</v>
      </c>
      <c r="F10" s="1004" t="s">
        <v>888</v>
      </c>
      <c r="G10" s="1004" t="s">
        <v>889</v>
      </c>
      <c r="H10" s="1004" t="s">
        <v>890</v>
      </c>
      <c r="I10" s="2478"/>
      <c r="J10" s="2478"/>
      <c r="K10" s="2478"/>
    </row>
    <row r="11" spans="2:11" ht="13.9" customHeight="1">
      <c r="B11" s="2478"/>
      <c r="C11" s="2478"/>
      <c r="D11" s="2478"/>
      <c r="E11" s="2476"/>
      <c r="F11" s="1004" t="s">
        <v>891</v>
      </c>
      <c r="G11" s="1004" t="s">
        <v>892</v>
      </c>
      <c r="H11" s="1004" t="s">
        <v>893</v>
      </c>
      <c r="I11" s="1004" t="s">
        <v>892</v>
      </c>
      <c r="J11" s="1004" t="s">
        <v>892</v>
      </c>
      <c r="K11" s="1004" t="s">
        <v>893</v>
      </c>
    </row>
    <row r="12" spans="2:11" ht="15.75">
      <c r="B12" s="1005">
        <v>1</v>
      </c>
      <c r="C12" s="1006">
        <v>2</v>
      </c>
      <c r="D12" s="1006">
        <v>3</v>
      </c>
      <c r="E12" s="1006">
        <v>4</v>
      </c>
      <c r="F12" s="1006">
        <v>5</v>
      </c>
      <c r="G12" s="1006">
        <v>6</v>
      </c>
      <c r="H12" s="1006">
        <v>7</v>
      </c>
      <c r="I12" s="1006">
        <v>8</v>
      </c>
      <c r="J12" s="1006">
        <v>9</v>
      </c>
      <c r="K12" s="1006">
        <v>10</v>
      </c>
    </row>
    <row r="13" spans="2:11" ht="15.75">
      <c r="B13" s="1007" t="s">
        <v>234</v>
      </c>
      <c r="C13" s="538" t="s">
        <v>894</v>
      </c>
      <c r="D13" s="1008"/>
      <c r="E13" s="1008"/>
      <c r="F13" s="1009">
        <f>SUM(F14:F16)</f>
        <v>0</v>
      </c>
      <c r="G13" s="1008"/>
      <c r="H13" s="1009">
        <f>SUM(H14:H16)</f>
        <v>0</v>
      </c>
      <c r="I13" s="1010"/>
      <c r="J13" s="1010"/>
      <c r="K13" s="540">
        <f>SUM(K14:K16)</f>
        <v>0</v>
      </c>
    </row>
    <row r="14" spans="2:11" ht="15.75">
      <c r="B14" s="1011" t="str">
        <f>CONCATENATE(B$13,"",ROW()-ROW(B$13))</f>
        <v>1.1</v>
      </c>
      <c r="C14" s="1012" t="s">
        <v>895</v>
      </c>
      <c r="D14" s="1010" t="s">
        <v>103</v>
      </c>
      <c r="E14" s="1013"/>
      <c r="F14" s="1010"/>
      <c r="G14" s="1010"/>
      <c r="H14" s="1010"/>
      <c r="I14" s="1014">
        <f>+I13</f>
        <v>0</v>
      </c>
      <c r="J14" s="1014">
        <f>+J13</f>
        <v>0</v>
      </c>
      <c r="K14" s="1009">
        <f>+F14*(G14-I14-J14)</f>
        <v>0</v>
      </c>
    </row>
    <row r="15" spans="2:11" ht="15.75">
      <c r="B15" s="1011" t="str">
        <f>CONCATENATE(B$13,"",ROW()-ROW(B$13))</f>
        <v>1.2</v>
      </c>
      <c r="C15" s="1012" t="s">
        <v>895</v>
      </c>
      <c r="D15" s="1010" t="s">
        <v>103</v>
      </c>
      <c r="E15" s="1013"/>
      <c r="F15" s="1010"/>
      <c r="G15" s="1010"/>
      <c r="H15" s="1010"/>
      <c r="I15" s="1014">
        <f>+I14</f>
        <v>0</v>
      </c>
      <c r="J15" s="1014">
        <f>+J14</f>
        <v>0</v>
      </c>
      <c r="K15" s="1009">
        <f>+F15*(G15-I15-J15)</f>
        <v>0</v>
      </c>
    </row>
    <row r="16" spans="2:11" ht="15">
      <c r="B16" s="1015"/>
      <c r="C16" s="1016" t="s">
        <v>7</v>
      </c>
      <c r="D16" s="1017"/>
      <c r="E16" s="1018"/>
      <c r="F16" s="1019"/>
      <c r="G16" s="1019"/>
      <c r="H16" s="1019"/>
      <c r="I16" s="1019"/>
      <c r="J16" s="1019"/>
      <c r="K16" s="1019"/>
    </row>
    <row r="17" spans="2:11" ht="15.75">
      <c r="B17" s="1007" t="s">
        <v>237</v>
      </c>
      <c r="C17" s="538" t="s">
        <v>896</v>
      </c>
      <c r="D17" s="1008"/>
      <c r="E17" s="1008"/>
      <c r="F17" s="1009">
        <f>SUM(F18:F20)</f>
        <v>0</v>
      </c>
      <c r="G17" s="1008"/>
      <c r="H17" s="1009">
        <f>SUM(H18:H20)</f>
        <v>0</v>
      </c>
      <c r="I17" s="1010"/>
      <c r="J17" s="1010"/>
      <c r="K17" s="540">
        <f>SUM(K18:K20)</f>
        <v>0</v>
      </c>
    </row>
    <row r="18" spans="2:11" ht="15.75">
      <c r="B18" s="1011" t="str">
        <f>CONCATENATE(B$17,"",ROW()-ROW(B$17))</f>
        <v>2.1</v>
      </c>
      <c r="C18" s="1012" t="s">
        <v>895</v>
      </c>
      <c r="D18" s="1010" t="s">
        <v>103</v>
      </c>
      <c r="E18" s="1013"/>
      <c r="F18" s="1010"/>
      <c r="G18" s="1010"/>
      <c r="H18" s="1010"/>
      <c r="I18" s="1014">
        <f>+I17</f>
        <v>0</v>
      </c>
      <c r="J18" s="1014">
        <f>+J17</f>
        <v>0</v>
      </c>
      <c r="K18" s="1009">
        <f>+F18*(G18-I18-J18)</f>
        <v>0</v>
      </c>
    </row>
    <row r="19" spans="2:11" ht="15.75">
      <c r="B19" s="1011" t="str">
        <f>CONCATENATE(B$17,"",ROW()-ROW(B$17))</f>
        <v>2.2</v>
      </c>
      <c r="C19" s="1012" t="s">
        <v>895</v>
      </c>
      <c r="D19" s="1010" t="s">
        <v>103</v>
      </c>
      <c r="E19" s="1013"/>
      <c r="F19" s="1010"/>
      <c r="G19" s="1010"/>
      <c r="H19" s="1010"/>
      <c r="I19" s="1014">
        <f>+I18</f>
        <v>0</v>
      </c>
      <c r="J19" s="1014">
        <f>+J18</f>
        <v>0</v>
      </c>
      <c r="K19" s="1009">
        <f>+F19*(G19-I19-J19)</f>
        <v>0</v>
      </c>
    </row>
    <row r="20" spans="2:11" ht="15">
      <c r="B20" s="1015"/>
      <c r="C20" s="1016" t="s">
        <v>7</v>
      </c>
      <c r="D20" s="1017"/>
      <c r="E20" s="1018"/>
      <c r="F20" s="1019"/>
      <c r="G20" s="1019"/>
      <c r="H20" s="1019"/>
      <c r="I20" s="1019"/>
      <c r="J20" s="1019"/>
      <c r="K20" s="1019"/>
    </row>
    <row r="21" spans="2:11" ht="15.75">
      <c r="B21" s="1007" t="s">
        <v>239</v>
      </c>
      <c r="C21" s="538" t="s">
        <v>897</v>
      </c>
      <c r="D21" s="1020"/>
      <c r="E21" s="1021"/>
      <c r="F21" s="1009">
        <f>SUM(F22:F23)</f>
        <v>0</v>
      </c>
      <c r="G21" s="1022"/>
      <c r="H21" s="1009">
        <f>SUM(H22:H23)</f>
        <v>0</v>
      </c>
      <c r="I21" s="1010"/>
      <c r="J21" s="1010"/>
      <c r="K21" s="540">
        <f>SUM(K22:K23)</f>
        <v>0</v>
      </c>
    </row>
    <row r="22" spans="2:11" ht="15.75">
      <c r="B22" s="1011" t="str">
        <f>CONCATENATE(B$21,"",ROW()-ROW(B$21))</f>
        <v>3.1</v>
      </c>
      <c r="C22" s="1012" t="s">
        <v>895</v>
      </c>
      <c r="D22" s="1010" t="s">
        <v>103</v>
      </c>
      <c r="E22" s="1013"/>
      <c r="F22" s="1010"/>
      <c r="G22" s="1010"/>
      <c r="H22" s="1010"/>
      <c r="I22" s="1014">
        <f>+I21</f>
        <v>0</v>
      </c>
      <c r="J22" s="1014">
        <f>+J21</f>
        <v>0</v>
      </c>
      <c r="K22" s="1009">
        <f>+F22*(G22-I22-J22)</f>
        <v>0</v>
      </c>
    </row>
    <row r="23" spans="2:11" ht="15">
      <c r="B23" s="1015"/>
      <c r="C23" s="1016" t="s">
        <v>7</v>
      </c>
      <c r="D23" s="1017"/>
      <c r="E23" s="1018"/>
      <c r="F23" s="1019"/>
      <c r="G23" s="1019"/>
      <c r="H23" s="1019"/>
      <c r="I23" s="1019"/>
      <c r="J23" s="1019"/>
      <c r="K23" s="1019"/>
    </row>
    <row r="24" spans="2:11" ht="15.75">
      <c r="B24" s="1007" t="s">
        <v>242</v>
      </c>
      <c r="C24" s="538" t="s">
        <v>898</v>
      </c>
      <c r="D24" s="1020"/>
      <c r="E24" s="1021"/>
      <c r="F24" s="1009">
        <f>SUM(F25:F26)</f>
        <v>0</v>
      </c>
      <c r="G24" s="1022"/>
      <c r="H24" s="1009">
        <f>SUM(H25:H26)</f>
        <v>0</v>
      </c>
      <c r="I24" s="1010"/>
      <c r="J24" s="1010"/>
      <c r="K24" s="540">
        <f>SUM(K25:K26)</f>
        <v>0</v>
      </c>
    </row>
    <row r="25" spans="2:11" ht="15.75">
      <c r="B25" s="1011" t="str">
        <f>CONCATENATE(B$24,"",ROW()-ROW(B$24))</f>
        <v>4.1</v>
      </c>
      <c r="C25" s="1012" t="s">
        <v>895</v>
      </c>
      <c r="D25" s="1010" t="s">
        <v>103</v>
      </c>
      <c r="E25" s="1013"/>
      <c r="F25" s="1010"/>
      <c r="G25" s="1010"/>
      <c r="H25" s="1010"/>
      <c r="I25" s="1014">
        <f>+I24</f>
        <v>0</v>
      </c>
      <c r="J25" s="1014">
        <f>+J24</f>
        <v>0</v>
      </c>
      <c r="K25" s="1009">
        <f>+F25*(G25-I25-J25)</f>
        <v>0</v>
      </c>
    </row>
    <row r="26" spans="2:11" ht="15">
      <c r="B26" s="1015"/>
      <c r="C26" s="1016" t="s">
        <v>7</v>
      </c>
      <c r="D26" s="1017"/>
      <c r="E26" s="1018"/>
      <c r="F26" s="1019"/>
      <c r="G26" s="1019"/>
      <c r="H26" s="1019"/>
      <c r="I26" s="1019"/>
      <c r="J26" s="1019"/>
      <c r="K26" s="1019"/>
    </row>
    <row r="27" spans="2:11" ht="15.75">
      <c r="B27" s="1007" t="s">
        <v>899</v>
      </c>
      <c r="C27" s="538" t="s">
        <v>900</v>
      </c>
      <c r="D27" s="1020"/>
      <c r="E27" s="1021"/>
      <c r="F27" s="1009">
        <f>SUM(F28:F29)</f>
        <v>0</v>
      </c>
      <c r="G27" s="1022"/>
      <c r="H27" s="1009">
        <f>SUM(H28:H29)</f>
        <v>0</v>
      </c>
      <c r="I27" s="1010"/>
      <c r="J27" s="1010"/>
      <c r="K27" s="540">
        <f>SUM(K28:K29)</f>
        <v>0</v>
      </c>
    </row>
    <row r="28" spans="2:11" ht="15.75">
      <c r="B28" s="1011" t="str">
        <f>CONCATENATE(B$27,"",ROW()-ROW(B$27))</f>
        <v>5.1</v>
      </c>
      <c r="C28" s="1012" t="s">
        <v>895</v>
      </c>
      <c r="D28" s="1010" t="s">
        <v>103</v>
      </c>
      <c r="E28" s="1013"/>
      <c r="F28" s="1010"/>
      <c r="G28" s="1010"/>
      <c r="H28" s="1010"/>
      <c r="I28" s="1014">
        <f>+I27</f>
        <v>0</v>
      </c>
      <c r="J28" s="1014">
        <f>+J27</f>
        <v>0</v>
      </c>
      <c r="K28" s="1009">
        <f>+F28*(G28-I28-J28)</f>
        <v>0</v>
      </c>
    </row>
    <row r="29" spans="2:11" ht="15">
      <c r="B29" s="1015"/>
      <c r="C29" s="1016" t="s">
        <v>7</v>
      </c>
      <c r="D29" s="1017"/>
      <c r="E29" s="1018"/>
      <c r="F29" s="1019"/>
      <c r="G29" s="1019"/>
      <c r="H29" s="1019"/>
      <c r="I29" s="1019"/>
      <c r="J29" s="1019"/>
      <c r="K29" s="1019"/>
    </row>
    <row r="30" spans="2:11" ht="15.75">
      <c r="B30" s="1007" t="s">
        <v>860</v>
      </c>
      <c r="C30" s="538" t="s">
        <v>901</v>
      </c>
      <c r="D30" s="1020"/>
      <c r="E30" s="1021"/>
      <c r="F30" s="1009">
        <f>SUM(F31:F32)</f>
        <v>0</v>
      </c>
      <c r="G30" s="1022"/>
      <c r="H30" s="1009">
        <f>SUM(H31:H32)</f>
        <v>0</v>
      </c>
      <c r="I30" s="1010"/>
      <c r="J30" s="1010"/>
      <c r="K30" s="540">
        <f>SUM(K31:K32)</f>
        <v>0</v>
      </c>
    </row>
    <row r="31" spans="2:11" ht="15.75">
      <c r="B31" s="1011" t="str">
        <f>CONCATENATE(B$30,"",ROW()-ROW(B$30))</f>
        <v>6.1</v>
      </c>
      <c r="C31" s="1012" t="s">
        <v>895</v>
      </c>
      <c r="D31" s="1010" t="s">
        <v>103</v>
      </c>
      <c r="E31" s="1013"/>
      <c r="F31" s="1010"/>
      <c r="G31" s="1010"/>
      <c r="H31" s="1010"/>
      <c r="I31" s="1014">
        <f>+I30</f>
        <v>0</v>
      </c>
      <c r="J31" s="1014">
        <f>+J30</f>
        <v>0</v>
      </c>
      <c r="K31" s="1009">
        <f>+F31*(G31-I31-J31)</f>
        <v>0</v>
      </c>
    </row>
    <row r="32" spans="2:11" ht="15">
      <c r="B32" s="1015"/>
      <c r="C32" s="1016" t="s">
        <v>7</v>
      </c>
      <c r="D32" s="1017"/>
      <c r="E32" s="1018"/>
      <c r="F32" s="1019"/>
      <c r="G32" s="1019"/>
      <c r="H32" s="1019"/>
      <c r="I32" s="1019"/>
      <c r="J32" s="1019"/>
      <c r="K32" s="1019"/>
    </row>
    <row r="33" spans="2:11" ht="15.75">
      <c r="B33" s="1007" t="s">
        <v>862</v>
      </c>
      <c r="C33" s="538" t="s">
        <v>902</v>
      </c>
      <c r="D33" s="1020"/>
      <c r="E33" s="1021"/>
      <c r="F33" s="1009">
        <f>SUM(F34:F35)</f>
        <v>0</v>
      </c>
      <c r="G33" s="1022"/>
      <c r="H33" s="1009">
        <f>SUM(H34:H35)</f>
        <v>0</v>
      </c>
      <c r="I33" s="1010"/>
      <c r="J33" s="1010"/>
      <c r="K33" s="540">
        <f>SUM(K34:K35)</f>
        <v>0</v>
      </c>
    </row>
    <row r="34" spans="2:11" ht="15.75">
      <c r="B34" s="1011" t="str">
        <f>CONCATENATE(B$33,"",ROW()-ROW(B$33))</f>
        <v>7.1</v>
      </c>
      <c r="C34" s="1012" t="s">
        <v>895</v>
      </c>
      <c r="D34" s="1010" t="s">
        <v>103</v>
      </c>
      <c r="E34" s="1013"/>
      <c r="F34" s="1010"/>
      <c r="G34" s="1010"/>
      <c r="H34" s="1010"/>
      <c r="I34" s="1014">
        <f>+I33</f>
        <v>0</v>
      </c>
      <c r="J34" s="1014">
        <f>+J33</f>
        <v>0</v>
      </c>
      <c r="K34" s="1009">
        <f>+F34*(G34-I34-J34)</f>
        <v>0</v>
      </c>
    </row>
    <row r="35" spans="2:11" ht="15">
      <c r="B35" s="1015"/>
      <c r="C35" s="1016" t="s">
        <v>7</v>
      </c>
      <c r="D35" s="1017"/>
      <c r="E35" s="1018"/>
      <c r="F35" s="1019"/>
      <c r="G35" s="1019"/>
      <c r="H35" s="1019"/>
      <c r="I35" s="1019"/>
      <c r="J35" s="1019"/>
      <c r="K35" s="1019"/>
    </row>
    <row r="36" spans="2:11" ht="15.75">
      <c r="B36" s="1007" t="s">
        <v>872</v>
      </c>
      <c r="C36" s="538" t="s">
        <v>903</v>
      </c>
      <c r="D36" s="1020"/>
      <c r="E36" s="1021"/>
      <c r="F36" s="1009">
        <f>SUM(F37:F38)</f>
        <v>0</v>
      </c>
      <c r="G36" s="1022"/>
      <c r="H36" s="1009">
        <f>SUM(H37:H38)</f>
        <v>0</v>
      </c>
      <c r="I36" s="1010"/>
      <c r="J36" s="1010"/>
      <c r="K36" s="540">
        <f>SUM(K37:K38)</f>
        <v>0</v>
      </c>
    </row>
    <row r="37" spans="2:11" ht="15.75">
      <c r="B37" s="1011" t="str">
        <f>CONCATENATE(B$36,"",ROW()-ROW(B$36))</f>
        <v>8.1</v>
      </c>
      <c r="C37" s="1012" t="s">
        <v>895</v>
      </c>
      <c r="D37" s="1010" t="s">
        <v>103</v>
      </c>
      <c r="E37" s="1013"/>
      <c r="F37" s="1010"/>
      <c r="G37" s="1010"/>
      <c r="H37" s="1010"/>
      <c r="I37" s="1014">
        <f>+I36</f>
        <v>0</v>
      </c>
      <c r="J37" s="1014">
        <f>+J36</f>
        <v>0</v>
      </c>
      <c r="K37" s="1009">
        <f>+F37*(G37-I37-J37)</f>
        <v>0</v>
      </c>
    </row>
    <row r="38" spans="2:11" ht="15">
      <c r="B38" s="1015"/>
      <c r="C38" s="1016" t="s">
        <v>7</v>
      </c>
      <c r="D38" s="1017"/>
      <c r="E38" s="1018"/>
      <c r="F38" s="1019"/>
      <c r="G38" s="1019"/>
      <c r="H38" s="1019"/>
      <c r="I38" s="1019"/>
      <c r="J38" s="1019"/>
      <c r="K38" s="1019"/>
    </row>
    <row r="39" spans="2:11" ht="15.75">
      <c r="B39" s="1007" t="s">
        <v>904</v>
      </c>
      <c r="C39" s="538" t="s">
        <v>905</v>
      </c>
      <c r="D39" s="1020"/>
      <c r="E39" s="1021"/>
      <c r="F39" s="1009">
        <f>SUM(F40:F41)</f>
        <v>0</v>
      </c>
      <c r="G39" s="1022"/>
      <c r="H39" s="1009">
        <f>SUM(H40:H41)</f>
        <v>0</v>
      </c>
      <c r="I39" s="1010"/>
      <c r="J39" s="1010"/>
      <c r="K39" s="540">
        <f>SUM(K40:K41)</f>
        <v>0</v>
      </c>
    </row>
    <row r="40" spans="2:11" ht="15.75">
      <c r="B40" s="1011" t="str">
        <f>CONCATENATE(B$39,"",ROW()-ROW(B$39))</f>
        <v>9.1</v>
      </c>
      <c r="C40" s="1012" t="s">
        <v>895</v>
      </c>
      <c r="D40" s="1010" t="s">
        <v>103</v>
      </c>
      <c r="E40" s="1013"/>
      <c r="F40" s="1010"/>
      <c r="G40" s="1010"/>
      <c r="H40" s="1010"/>
      <c r="I40" s="1014">
        <f>+I39</f>
        <v>0</v>
      </c>
      <c r="J40" s="1014">
        <f>+J39</f>
        <v>0</v>
      </c>
      <c r="K40" s="1009">
        <f>+F40*(G40-I40-J40)</f>
        <v>0</v>
      </c>
    </row>
    <row r="41" spans="2:11" ht="15">
      <c r="B41" s="1015"/>
      <c r="C41" s="1016" t="s">
        <v>7</v>
      </c>
      <c r="D41" s="1017"/>
      <c r="E41" s="1018"/>
      <c r="F41" s="1019"/>
      <c r="G41" s="1019"/>
      <c r="H41" s="1019"/>
      <c r="I41" s="1019"/>
      <c r="J41" s="1019"/>
      <c r="K41" s="1019"/>
    </row>
    <row r="42" spans="2:11" ht="15.75">
      <c r="B42" s="1007" t="s">
        <v>906</v>
      </c>
      <c r="C42" s="538" t="s">
        <v>907</v>
      </c>
      <c r="D42" s="1020"/>
      <c r="E42" s="1021"/>
      <c r="F42" s="1009">
        <f>SUM(F43:F44)</f>
        <v>0</v>
      </c>
      <c r="G42" s="1022"/>
      <c r="H42" s="1009">
        <f>SUM(H43:H44)</f>
        <v>0</v>
      </c>
      <c r="I42" s="1010"/>
      <c r="J42" s="1010"/>
      <c r="K42" s="540">
        <f>SUM(K43:K44)</f>
        <v>0</v>
      </c>
    </row>
    <row r="43" spans="2:11" ht="15.75">
      <c r="B43" s="1011" t="str">
        <f>CONCATENATE(B$42,"",ROW()-ROW(B$42))</f>
        <v>10.1</v>
      </c>
      <c r="C43" s="1012" t="s">
        <v>895</v>
      </c>
      <c r="D43" s="1010" t="s">
        <v>103</v>
      </c>
      <c r="E43" s="1013"/>
      <c r="F43" s="1010"/>
      <c r="G43" s="1010"/>
      <c r="H43" s="1010"/>
      <c r="I43" s="1014">
        <f>+I42</f>
        <v>0</v>
      </c>
      <c r="J43" s="1014">
        <f>+J42</f>
        <v>0</v>
      </c>
      <c r="K43" s="1009">
        <f>+F43*(G43-I43-J43)</f>
        <v>0</v>
      </c>
    </row>
    <row r="44" spans="2:11" ht="15">
      <c r="B44" s="1015"/>
      <c r="C44" s="1016" t="s">
        <v>7</v>
      </c>
      <c r="D44" s="1017"/>
      <c r="E44" s="1018"/>
      <c r="F44" s="1019"/>
      <c r="G44" s="1019"/>
      <c r="H44" s="1019"/>
      <c r="I44" s="1019"/>
      <c r="J44" s="1019"/>
      <c r="K44" s="1019"/>
    </row>
    <row r="45" spans="2:11" ht="15.75">
      <c r="B45" s="1007" t="s">
        <v>908</v>
      </c>
      <c r="C45" s="538" t="s">
        <v>909</v>
      </c>
      <c r="D45" s="1020"/>
      <c r="E45" s="1021"/>
      <c r="F45" s="1009">
        <f>SUM(F46:F47)</f>
        <v>0</v>
      </c>
      <c r="G45" s="1022"/>
      <c r="H45" s="1009">
        <f>SUM(H46:H47)</f>
        <v>0</v>
      </c>
      <c r="I45" s="1010"/>
      <c r="J45" s="1010"/>
      <c r="K45" s="540">
        <f>SUM(K46:K47)</f>
        <v>0</v>
      </c>
    </row>
    <row r="46" spans="2:11" ht="15.75">
      <c r="B46" s="1011" t="str">
        <f>CONCATENATE(B$45,"",ROW()-ROW(B$45))</f>
        <v>11.1</v>
      </c>
      <c r="C46" s="1012" t="s">
        <v>895</v>
      </c>
      <c r="D46" s="1010" t="s">
        <v>103</v>
      </c>
      <c r="E46" s="1013"/>
      <c r="F46" s="1010"/>
      <c r="G46" s="1010"/>
      <c r="H46" s="1010"/>
      <c r="I46" s="1014">
        <f>+I45</f>
        <v>0</v>
      </c>
      <c r="J46" s="1014">
        <f>+J45</f>
        <v>0</v>
      </c>
      <c r="K46" s="1009">
        <f>+F46*(G46-I46-J46)</f>
        <v>0</v>
      </c>
    </row>
    <row r="47" spans="2:11" ht="15">
      <c r="B47" s="1015"/>
      <c r="C47" s="1016" t="s">
        <v>7</v>
      </c>
      <c r="D47" s="1017"/>
      <c r="E47" s="1018"/>
      <c r="F47" s="1019"/>
      <c r="G47" s="1019"/>
      <c r="H47" s="1019"/>
      <c r="I47" s="1019"/>
      <c r="J47" s="1019"/>
      <c r="K47" s="1019"/>
    </row>
    <row r="48" spans="2:11" ht="15.75">
      <c r="B48" s="1007" t="s">
        <v>910</v>
      </c>
      <c r="C48" s="538" t="s">
        <v>911</v>
      </c>
      <c r="D48" s="1020"/>
      <c r="E48" s="1021"/>
      <c r="F48" s="1009">
        <f>SUM(F49:F50)</f>
        <v>0</v>
      </c>
      <c r="G48" s="1022"/>
      <c r="H48" s="1009">
        <f>SUM(H49:H50)</f>
        <v>0</v>
      </c>
      <c r="I48" s="1010"/>
      <c r="J48" s="1010"/>
      <c r="K48" s="540">
        <f>SUM(K49:K50)</f>
        <v>0</v>
      </c>
    </row>
    <row r="49" spans="2:11" ht="15.75">
      <c r="B49" s="1011" t="str">
        <f>CONCATENATE(B$48,"",ROW()-ROW(B$48))</f>
        <v>12.1</v>
      </c>
      <c r="C49" s="1012" t="s">
        <v>895</v>
      </c>
      <c r="D49" s="1010" t="s">
        <v>103</v>
      </c>
      <c r="E49" s="1013"/>
      <c r="F49" s="1010"/>
      <c r="G49" s="1010"/>
      <c r="H49" s="1010"/>
      <c r="I49" s="1014">
        <f>+I48</f>
        <v>0</v>
      </c>
      <c r="J49" s="1014">
        <f>+J48</f>
        <v>0</v>
      </c>
      <c r="K49" s="1009">
        <f>+F49*(G49-I49-J49)</f>
        <v>0</v>
      </c>
    </row>
    <row r="50" spans="2:11" ht="15">
      <c r="B50" s="1015"/>
      <c r="C50" s="1016" t="s">
        <v>7</v>
      </c>
      <c r="D50" s="1017"/>
      <c r="E50" s="1018"/>
      <c r="F50" s="1019"/>
      <c r="G50" s="1019"/>
      <c r="H50" s="1019"/>
      <c r="I50" s="1019"/>
      <c r="J50" s="1019"/>
      <c r="K50" s="1019"/>
    </row>
    <row r="51" spans="2:11" ht="15.75">
      <c r="B51" s="1011" t="s">
        <v>912</v>
      </c>
      <c r="C51" s="1023" t="s">
        <v>497</v>
      </c>
      <c r="D51" s="1022"/>
      <c r="E51" s="1021"/>
      <c r="F51" s="1009">
        <f>+F13+F17+F21+F24+F27+F30+F33+F36+F39+F42+F45+F48</f>
        <v>0</v>
      </c>
      <c r="G51" s="1009">
        <f>IFERROR(H51/F51,0)</f>
        <v>0</v>
      </c>
      <c r="H51" s="1009">
        <f>+H13+H17+H21+H24+H27+H30+H33+H36+H39+H42+H45+H48</f>
        <v>0</v>
      </c>
      <c r="I51" s="1024"/>
      <c r="J51" s="1024"/>
      <c r="K51" s="1009">
        <f>+K13+K17+K21+K24+K27+K30+K33+K36+K39+K42+K45+K48</f>
        <v>0</v>
      </c>
    </row>
  </sheetData>
  <sheetProtection formatColumns="0" formatRows="0" insertHyperlinks="0"/>
  <mergeCells count="11">
    <mergeCell ref="E10:E11"/>
    <mergeCell ref="B1:C1"/>
    <mergeCell ref="B4:K6"/>
    <mergeCell ref="B7:K7"/>
    <mergeCell ref="B9:B11"/>
    <mergeCell ref="C9:C11"/>
    <mergeCell ref="D9:G9"/>
    <mergeCell ref="I9:I10"/>
    <mergeCell ref="J9:J10"/>
    <mergeCell ref="K9:K10"/>
    <mergeCell ref="D10:D11"/>
  </mergeCells>
  <hyperlinks>
    <hyperlink ref="B1" location="'Перечень форм для заполнения'!A1" display="Вернуться к перечню форм"/>
    <hyperlink ref="C16" location="'26 (бездоговор)'!A1" display="Добавить"/>
    <hyperlink ref="C20" location="'26 (бездоговор)'!A1" display="Добавить"/>
    <hyperlink ref="C23" location="'26 (бездоговор)'!A1" display="Добавить"/>
    <hyperlink ref="C26" location="'26 (бездоговор)'!A1" display="Добавить"/>
    <hyperlink ref="C29" location="'26 (бездоговор)'!A1" display="Добавить"/>
    <hyperlink ref="C32" location="'26 (бездоговор)'!A1" display="Добавить"/>
    <hyperlink ref="C35" location="'26 (бездоговор)'!A1" display="Добавить"/>
    <hyperlink ref="C38" location="'26 (бездоговор)'!A1" display="Добавить"/>
    <hyperlink ref="C41" location="'26 (бездоговор)'!A1" display="Добавить"/>
    <hyperlink ref="C44" location="'26 (бездоговор)'!A1" display="Добавить"/>
    <hyperlink ref="C47" location="'26 (бездоговор)'!A1" display="Добавить"/>
    <hyperlink ref="C50" location="'26 (бездоговор)'!A1" display="Добавить"/>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B1:P28"/>
  <sheetViews>
    <sheetView showGridLines="0" zoomScale="80" zoomScaleNormal="80" workbookViewId="0">
      <selection activeCell="C44" sqref="C44"/>
    </sheetView>
  </sheetViews>
  <sheetFormatPr defaultColWidth="8.85546875" defaultRowHeight="15.75"/>
  <cols>
    <col min="1" max="1" width="3.7109375" style="1048" customWidth="1"/>
    <col min="2" max="2" width="7.42578125" style="1048" customWidth="1"/>
    <col min="3" max="3" width="41.28515625" style="1048" customWidth="1"/>
    <col min="4" max="4" width="29.28515625" style="1048" customWidth="1"/>
    <col min="5" max="5" width="23" style="1048" customWidth="1"/>
    <col min="6" max="7" width="15.7109375" style="1048" customWidth="1"/>
    <col min="8" max="8" width="22.7109375" style="1048" customWidth="1"/>
    <col min="9" max="10" width="23.5703125" style="1048" customWidth="1"/>
    <col min="11" max="13" width="15.7109375" style="1048" customWidth="1"/>
    <col min="14" max="14" width="21.140625" style="1048" customWidth="1"/>
    <col min="15" max="15" width="49.28515625" style="1048" customWidth="1"/>
    <col min="16" max="16" width="13.140625" style="1048" customWidth="1"/>
    <col min="17" max="16384" width="8.85546875" style="1048"/>
  </cols>
  <sheetData>
    <row r="1" spans="2:16">
      <c r="B1" s="2486" t="s">
        <v>210</v>
      </c>
      <c r="C1" s="2486"/>
      <c r="J1" s="1049"/>
      <c r="K1" s="2487"/>
      <c r="L1" s="2487"/>
      <c r="M1" s="2487"/>
      <c r="N1" s="2487"/>
      <c r="O1" s="2487"/>
      <c r="P1" s="2487"/>
    </row>
    <row r="2" spans="2:16">
      <c r="B2" s="1050"/>
      <c r="C2" s="1051"/>
      <c r="J2" s="1049"/>
      <c r="K2" s="1052"/>
      <c r="L2" s="2488"/>
      <c r="M2" s="2489"/>
      <c r="N2" s="2489"/>
      <c r="O2" s="2489"/>
      <c r="P2" s="2489"/>
    </row>
    <row r="3" spans="2:16">
      <c r="B3" s="1050"/>
      <c r="C3" s="1051"/>
      <c r="J3" s="1049"/>
      <c r="K3" s="1052"/>
      <c r="L3" s="1053"/>
      <c r="M3" s="1054"/>
      <c r="N3" s="1054"/>
      <c r="O3" s="1054"/>
      <c r="P3" s="1054"/>
    </row>
    <row r="4" spans="2:16" ht="15.6" customHeight="1">
      <c r="B4" s="2490" t="s">
        <v>952</v>
      </c>
      <c r="C4" s="2490"/>
      <c r="D4" s="2490"/>
      <c r="E4" s="2490"/>
      <c r="F4" s="2490"/>
      <c r="G4" s="2490"/>
      <c r="H4" s="2490"/>
      <c r="I4" s="2490"/>
      <c r="J4" s="2490"/>
      <c r="K4" s="2490"/>
      <c r="L4" s="2490"/>
      <c r="M4" s="2490"/>
      <c r="N4" s="1055"/>
      <c r="O4" s="1056"/>
      <c r="P4" s="1056"/>
    </row>
    <row r="5" spans="2:16" ht="15.6" customHeight="1">
      <c r="B5" s="2491" t="str">
        <f>'0. Анкета'!C15-2&amp;" год"</f>
        <v>2022 год</v>
      </c>
      <c r="C5" s="2491"/>
      <c r="D5" s="2491"/>
      <c r="E5" s="2491"/>
      <c r="F5" s="2491"/>
      <c r="G5" s="2491"/>
      <c r="H5" s="2491"/>
      <c r="I5" s="2491"/>
      <c r="J5" s="2491"/>
      <c r="K5" s="2491"/>
      <c r="L5" s="2491"/>
      <c r="M5" s="2491"/>
      <c r="N5" s="1057"/>
      <c r="O5" s="1058"/>
      <c r="P5" s="1056"/>
    </row>
    <row r="6" spans="2:16">
      <c r="C6" s="1059"/>
      <c r="D6" s="1059"/>
      <c r="E6" s="1059"/>
      <c r="F6" s="1059"/>
      <c r="G6" s="1059"/>
      <c r="H6" s="1059"/>
      <c r="I6" s="1059"/>
      <c r="J6" s="1060"/>
      <c r="K6" s="1060"/>
      <c r="L6" s="1060"/>
      <c r="M6" s="1061" t="s">
        <v>953</v>
      </c>
      <c r="N6" s="1061"/>
    </row>
    <row r="9" spans="2:16" ht="41.65" customHeight="1">
      <c r="B9" s="2479" t="s">
        <v>12</v>
      </c>
      <c r="C9" s="2481" t="s">
        <v>954</v>
      </c>
      <c r="D9" s="2479" t="s">
        <v>955</v>
      </c>
      <c r="E9" s="2479" t="s">
        <v>956</v>
      </c>
      <c r="F9" s="2483" t="s">
        <v>957</v>
      </c>
      <c r="G9" s="2484"/>
      <c r="H9" s="2485"/>
      <c r="I9" s="2479" t="s">
        <v>958</v>
      </c>
      <c r="J9" s="2479" t="s">
        <v>959</v>
      </c>
      <c r="K9" s="2479" t="s">
        <v>960</v>
      </c>
      <c r="L9" s="2479" t="s">
        <v>961</v>
      </c>
      <c r="M9" s="2479" t="s">
        <v>962</v>
      </c>
      <c r="N9" s="2479" t="s">
        <v>963</v>
      </c>
      <c r="O9" s="2479" t="s">
        <v>964</v>
      </c>
    </row>
    <row r="10" spans="2:16" ht="35.25" customHeight="1">
      <c r="B10" s="2480"/>
      <c r="C10" s="2482"/>
      <c r="D10" s="2480"/>
      <c r="E10" s="2480"/>
      <c r="F10" s="1004" t="s">
        <v>965</v>
      </c>
      <c r="G10" s="1004" t="s">
        <v>966</v>
      </c>
      <c r="H10" s="1004" t="s">
        <v>967</v>
      </c>
      <c r="I10" s="2480"/>
      <c r="J10" s="2480"/>
      <c r="K10" s="2480"/>
      <c r="L10" s="2480"/>
      <c r="M10" s="2480"/>
      <c r="N10" s="2480"/>
      <c r="O10" s="2480"/>
    </row>
    <row r="11" spans="2:16">
      <c r="B11" s="1004">
        <v>1</v>
      </c>
      <c r="C11" s="1062">
        <f>B11+1</f>
        <v>2</v>
      </c>
      <c r="D11" s="1062">
        <f t="shared" ref="D11:O11" si="0">C11+1</f>
        <v>3</v>
      </c>
      <c r="E11" s="1062">
        <f t="shared" si="0"/>
        <v>4</v>
      </c>
      <c r="F11" s="1062">
        <f t="shared" si="0"/>
        <v>5</v>
      </c>
      <c r="G11" s="1062">
        <f t="shared" si="0"/>
        <v>6</v>
      </c>
      <c r="H11" s="1062">
        <f t="shared" si="0"/>
        <v>7</v>
      </c>
      <c r="I11" s="1062">
        <f t="shared" si="0"/>
        <v>8</v>
      </c>
      <c r="J11" s="1062">
        <f t="shared" si="0"/>
        <v>9</v>
      </c>
      <c r="K11" s="1062">
        <f t="shared" si="0"/>
        <v>10</v>
      </c>
      <c r="L11" s="1062">
        <f t="shared" si="0"/>
        <v>11</v>
      </c>
      <c r="M11" s="1062">
        <f t="shared" si="0"/>
        <v>12</v>
      </c>
      <c r="N11" s="1062">
        <f t="shared" si="0"/>
        <v>13</v>
      </c>
      <c r="O11" s="1062">
        <f t="shared" si="0"/>
        <v>14</v>
      </c>
    </row>
    <row r="12" spans="2:16">
      <c r="B12" s="1063" t="str">
        <f>IF(ROW()&gt;12,1+((ROW()-12)/16),"1")</f>
        <v>1</v>
      </c>
      <c r="C12" s="1030" t="str">
        <f>CONCATENATE("Договор ",B12)</f>
        <v>Договор 1</v>
      </c>
      <c r="D12" s="2492"/>
      <c r="E12" s="1064"/>
      <c r="F12" s="1065"/>
      <c r="G12" s="1065"/>
      <c r="H12" s="1065"/>
      <c r="I12" s="1066"/>
      <c r="J12" s="1066"/>
      <c r="K12" s="1066"/>
      <c r="L12" s="1066"/>
      <c r="M12" s="1066"/>
      <c r="N12" s="1066"/>
      <c r="O12" s="1067"/>
    </row>
    <row r="13" spans="2:16">
      <c r="B13" s="1043" t="str">
        <f>CONCATENATE(B12,".",ROW()-ROW(B12))</f>
        <v>1.1</v>
      </c>
      <c r="C13" s="1034" t="s">
        <v>930</v>
      </c>
      <c r="D13" s="2493"/>
      <c r="E13" s="1068"/>
      <c r="F13" s="1069">
        <f t="shared" ref="F13:F27" si="1">SUM(G13:H13)</f>
        <v>0</v>
      </c>
      <c r="G13" s="1070"/>
      <c r="H13" s="1070"/>
      <c r="I13" s="1070"/>
      <c r="J13" s="1070"/>
      <c r="K13" s="1071"/>
      <c r="L13" s="1071"/>
      <c r="M13" s="1071"/>
      <c r="N13" s="1071"/>
      <c r="O13" s="1072"/>
    </row>
    <row r="14" spans="2:16">
      <c r="B14" s="1043" t="str">
        <f>CONCATENATE(B12,".",ROW()-ROW(B12))</f>
        <v>1.2</v>
      </c>
      <c r="C14" s="1034" t="s">
        <v>932</v>
      </c>
      <c r="D14" s="2493"/>
      <c r="E14" s="1068"/>
      <c r="F14" s="1069">
        <f t="shared" si="1"/>
        <v>0</v>
      </c>
      <c r="G14" s="1070"/>
      <c r="H14" s="1070"/>
      <c r="I14" s="1070"/>
      <c r="J14" s="1070"/>
      <c r="K14" s="1071"/>
      <c r="L14" s="1071"/>
      <c r="M14" s="1071"/>
      <c r="N14" s="1071"/>
      <c r="O14" s="1072"/>
    </row>
    <row r="15" spans="2:16">
      <c r="B15" s="1043" t="str">
        <f>CONCATENATE(B12,".",ROW()-ROW(B12))</f>
        <v>1.3</v>
      </c>
      <c r="C15" s="1034" t="s">
        <v>933</v>
      </c>
      <c r="D15" s="2493"/>
      <c r="E15" s="1068"/>
      <c r="F15" s="1069">
        <f t="shared" si="1"/>
        <v>0</v>
      </c>
      <c r="G15" s="1070"/>
      <c r="H15" s="1070"/>
      <c r="I15" s="1070"/>
      <c r="J15" s="1070"/>
      <c r="K15" s="1071"/>
      <c r="L15" s="1071"/>
      <c r="M15" s="1071"/>
      <c r="N15" s="1071"/>
      <c r="O15" s="1072"/>
    </row>
    <row r="16" spans="2:16">
      <c r="B16" s="1043" t="str">
        <f>CONCATENATE(B12,".",ROW()-ROW(B12))</f>
        <v>1.4</v>
      </c>
      <c r="C16" s="1034" t="s">
        <v>934</v>
      </c>
      <c r="D16" s="2493"/>
      <c r="E16" s="1068"/>
      <c r="F16" s="1069">
        <f t="shared" si="1"/>
        <v>0</v>
      </c>
      <c r="G16" s="1070"/>
      <c r="H16" s="1070"/>
      <c r="I16" s="1070"/>
      <c r="J16" s="1070"/>
      <c r="K16" s="1071"/>
      <c r="L16" s="1071"/>
      <c r="M16" s="1071"/>
      <c r="N16" s="1071"/>
      <c r="O16" s="1072"/>
    </row>
    <row r="17" spans="2:15">
      <c r="B17" s="1043" t="str">
        <f>CONCATENATE(B12,".",ROW()-ROW(B12))</f>
        <v>1.5</v>
      </c>
      <c r="C17" s="1034" t="s">
        <v>935</v>
      </c>
      <c r="D17" s="2493"/>
      <c r="E17" s="1068"/>
      <c r="F17" s="1069">
        <f t="shared" si="1"/>
        <v>0</v>
      </c>
      <c r="G17" s="1070"/>
      <c r="H17" s="1070"/>
      <c r="I17" s="1070"/>
      <c r="J17" s="1070"/>
      <c r="K17" s="1071"/>
      <c r="L17" s="1071"/>
      <c r="M17" s="1071"/>
      <c r="N17" s="1071"/>
      <c r="O17" s="1072"/>
    </row>
    <row r="18" spans="2:15">
      <c r="B18" s="1043" t="str">
        <f>CONCATENATE(B12,".",ROW()-ROW(B12))</f>
        <v>1.6</v>
      </c>
      <c r="C18" s="1034" t="s">
        <v>936</v>
      </c>
      <c r="D18" s="2493"/>
      <c r="E18" s="1068"/>
      <c r="F18" s="1069">
        <f t="shared" si="1"/>
        <v>0</v>
      </c>
      <c r="G18" s="1070"/>
      <c r="H18" s="1070"/>
      <c r="I18" s="1070"/>
      <c r="J18" s="1070"/>
      <c r="K18" s="1071"/>
      <c r="L18" s="1071"/>
      <c r="M18" s="1071"/>
      <c r="N18" s="1071"/>
      <c r="O18" s="1072"/>
    </row>
    <row r="19" spans="2:15">
      <c r="B19" s="1043" t="str">
        <f>CONCATENATE(B12,".",ROW()-ROW(B12))</f>
        <v>1.7</v>
      </c>
      <c r="C19" s="1034" t="s">
        <v>937</v>
      </c>
      <c r="D19" s="2493"/>
      <c r="E19" s="1068"/>
      <c r="F19" s="1069">
        <f t="shared" si="1"/>
        <v>0</v>
      </c>
      <c r="G19" s="1070"/>
      <c r="H19" s="1070"/>
      <c r="I19" s="1070"/>
      <c r="J19" s="1070"/>
      <c r="K19" s="1071"/>
      <c r="L19" s="1071"/>
      <c r="M19" s="1071"/>
      <c r="N19" s="1071"/>
      <c r="O19" s="1072"/>
    </row>
    <row r="20" spans="2:15">
      <c r="B20" s="1043" t="str">
        <f>CONCATENATE(B12,".",ROW()-ROW(B12))</f>
        <v>1.8</v>
      </c>
      <c r="C20" s="1034" t="s">
        <v>938</v>
      </c>
      <c r="D20" s="2493"/>
      <c r="E20" s="1068"/>
      <c r="F20" s="1069">
        <f t="shared" si="1"/>
        <v>0</v>
      </c>
      <c r="G20" s="1070"/>
      <c r="H20" s="1070"/>
      <c r="I20" s="1070"/>
      <c r="J20" s="1070"/>
      <c r="K20" s="1071"/>
      <c r="L20" s="1071"/>
      <c r="M20" s="1071"/>
      <c r="N20" s="1071"/>
      <c r="O20" s="1072"/>
    </row>
    <row r="21" spans="2:15">
      <c r="B21" s="1043" t="str">
        <f>CONCATENATE(B12,".",ROW()-ROW(B12))</f>
        <v>1.9</v>
      </c>
      <c r="C21" s="1034" t="s">
        <v>939</v>
      </c>
      <c r="D21" s="2493"/>
      <c r="E21" s="1068"/>
      <c r="F21" s="1069">
        <f t="shared" si="1"/>
        <v>0</v>
      </c>
      <c r="G21" s="1070"/>
      <c r="H21" s="1070"/>
      <c r="I21" s="1070"/>
      <c r="J21" s="1070"/>
      <c r="K21" s="1071"/>
      <c r="L21" s="1071"/>
      <c r="M21" s="1071"/>
      <c r="N21" s="1071"/>
      <c r="O21" s="1072"/>
    </row>
    <row r="22" spans="2:15">
      <c r="B22" s="1043" t="str">
        <f>CONCATENATE(B12,".",ROW()-ROW(B12))</f>
        <v>1.10</v>
      </c>
      <c r="C22" s="1034" t="s">
        <v>940</v>
      </c>
      <c r="D22" s="2493"/>
      <c r="E22" s="1068"/>
      <c r="F22" s="1069">
        <f t="shared" si="1"/>
        <v>0</v>
      </c>
      <c r="G22" s="1070"/>
      <c r="H22" s="1070"/>
      <c r="I22" s="1070"/>
      <c r="J22" s="1070"/>
      <c r="K22" s="1071"/>
      <c r="L22" s="1071"/>
      <c r="M22" s="1071"/>
      <c r="N22" s="1071"/>
      <c r="O22" s="1072"/>
    </row>
    <row r="23" spans="2:15">
      <c r="B23" s="1043" t="str">
        <f>CONCATENATE(B12,".",ROW()-ROW(B12))</f>
        <v>1.11</v>
      </c>
      <c r="C23" s="1034" t="s">
        <v>941</v>
      </c>
      <c r="D23" s="2493"/>
      <c r="E23" s="1068"/>
      <c r="F23" s="1069">
        <f t="shared" si="1"/>
        <v>0</v>
      </c>
      <c r="G23" s="1070"/>
      <c r="H23" s="1070"/>
      <c r="I23" s="1070"/>
      <c r="J23" s="1070"/>
      <c r="K23" s="1071"/>
      <c r="L23" s="1071"/>
      <c r="M23" s="1071"/>
      <c r="N23" s="1071"/>
      <c r="O23" s="1072"/>
    </row>
    <row r="24" spans="2:15">
      <c r="B24" s="1043" t="str">
        <f>CONCATENATE(B12,".",ROW()-ROW(B12))</f>
        <v>1.12</v>
      </c>
      <c r="C24" s="1034" t="s">
        <v>942</v>
      </c>
      <c r="D24" s="2493"/>
      <c r="E24" s="1068"/>
      <c r="F24" s="1069">
        <f t="shared" si="1"/>
        <v>0</v>
      </c>
      <c r="G24" s="1070"/>
      <c r="H24" s="1070"/>
      <c r="I24" s="1070"/>
      <c r="J24" s="1070"/>
      <c r="K24" s="1071"/>
      <c r="L24" s="1071"/>
      <c r="M24" s="1071"/>
      <c r="N24" s="1071"/>
      <c r="O24" s="1072"/>
    </row>
    <row r="25" spans="2:15">
      <c r="B25" s="1063" t="str">
        <f>CONCATENATE(B12,".",ROW()-ROW(B12))</f>
        <v>1.13</v>
      </c>
      <c r="C25" s="1042" t="s">
        <v>232</v>
      </c>
      <c r="D25" s="2493"/>
      <c r="E25" s="1068"/>
      <c r="F25" s="1073">
        <f t="shared" si="1"/>
        <v>0</v>
      </c>
      <c r="G25" s="1073">
        <f>SUM(G13:G18)</f>
        <v>0</v>
      </c>
      <c r="H25" s="1073">
        <f>SUM(H13:H18)</f>
        <v>0</v>
      </c>
      <c r="I25" s="1073">
        <f>IFERROR(SUMPRODUCT(G13:G18,I13:I18)/SUM(G13:G18),0)</f>
        <v>0</v>
      </c>
      <c r="J25" s="1073">
        <f>IFERROR(SUMPRODUCT(H13:H18,J13:J18)/SUM(H13:H18),0)</f>
        <v>0</v>
      </c>
      <c r="K25" s="1073">
        <f>IFERROR(SUMPRODUCT(F13:F18,K13:K18)/SUM(F13:F18),0)</f>
        <v>0</v>
      </c>
      <c r="L25" s="1073">
        <f>SUM(L13:L18)</f>
        <v>0</v>
      </c>
      <c r="M25" s="1073">
        <f>SUM(M13:M18)</f>
        <v>0</v>
      </c>
      <c r="N25" s="1073">
        <f>IFERROR(SUMPRODUCT(F13:F18,N13:N18)/SUM(F13:F18),0)</f>
        <v>0</v>
      </c>
      <c r="O25" s="1072"/>
    </row>
    <row r="26" spans="2:15">
      <c r="B26" s="1063" t="str">
        <f>CONCATENATE(B12,".",ROW()-ROW(B12))</f>
        <v>1.14</v>
      </c>
      <c r="C26" s="1042" t="s">
        <v>233</v>
      </c>
      <c r="D26" s="2493"/>
      <c r="E26" s="1068"/>
      <c r="F26" s="1073">
        <f t="shared" si="1"/>
        <v>0</v>
      </c>
      <c r="G26" s="1073">
        <f>SUM(G19:G24)</f>
        <v>0</v>
      </c>
      <c r="H26" s="1073">
        <f>SUM(H19:H24)</f>
        <v>0</v>
      </c>
      <c r="I26" s="1073">
        <f>IFERROR(SUMPRODUCT(G19:G24,I19:I24)/SUM(G19:G24),0)</f>
        <v>0</v>
      </c>
      <c r="J26" s="1073">
        <f>IFERROR(SUMPRODUCT(H19:H24,J19:J24)/SUM(H19:H24),0)</f>
        <v>0</v>
      </c>
      <c r="K26" s="1073">
        <f>IFERROR(SUMPRODUCT(F19:F24,K19:K24)/SUM(F19:F24),0)</f>
        <v>0</v>
      </c>
      <c r="L26" s="1073">
        <f>SUM(L19:L24)</f>
        <v>0</v>
      </c>
      <c r="M26" s="1073">
        <f>SUM(M19:M24)</f>
        <v>0</v>
      </c>
      <c r="N26" s="1073">
        <f>IFERROR(SUMPRODUCT(F19:F24,N19:N24)/SUM(F19:F24),0)</f>
        <v>0</v>
      </c>
      <c r="O26" s="1072"/>
    </row>
    <row r="27" spans="2:15">
      <c r="B27" s="1063" t="str">
        <f>CONCATENATE(B12,".",ROW()-ROW(B12))</f>
        <v>1.15</v>
      </c>
      <c r="C27" s="1042" t="str">
        <f>'0. Анкета'!C15-2&amp;" год"</f>
        <v>2022 год</v>
      </c>
      <c r="D27" s="2494"/>
      <c r="E27" s="1074"/>
      <c r="F27" s="1073">
        <f t="shared" si="1"/>
        <v>0</v>
      </c>
      <c r="G27" s="1073">
        <f>G25+G26</f>
        <v>0</v>
      </c>
      <c r="H27" s="1073">
        <f>H25+H26</f>
        <v>0</v>
      </c>
      <c r="I27" s="1073">
        <f>IFERROR(SUMPRODUCT(G13:G24,I13:I24)/SUM(G13:G24),0)</f>
        <v>0</v>
      </c>
      <c r="J27" s="1073">
        <f>IFERROR(SUMPRODUCT(H13:H24,J13:J24)/SUM(H13:H24),0)</f>
        <v>0</v>
      </c>
      <c r="K27" s="1073">
        <f>IFERROR(SUMPRODUCT(F13:F24,K13:K24)/SUM(F13:F24),0)</f>
        <v>0</v>
      </c>
      <c r="L27" s="1073">
        <f>L25+L26</f>
        <v>0</v>
      </c>
      <c r="M27" s="1073">
        <f>M25+M26</f>
        <v>0</v>
      </c>
      <c r="N27" s="1073">
        <f>IFERROR(SUMPRODUCT(F13:F24,N13:N24)/SUM(F13:F24),0)</f>
        <v>0</v>
      </c>
      <c r="O27" s="1075"/>
    </row>
    <row r="28" spans="2:15">
      <c r="B28" s="423"/>
      <c r="C28" s="473" t="s">
        <v>943</v>
      </c>
      <c r="D28" s="468"/>
      <c r="E28" s="468"/>
      <c r="F28" s="499"/>
      <c r="G28" s="499"/>
      <c r="H28" s="499"/>
      <c r="I28" s="499"/>
      <c r="J28" s="499"/>
      <c r="K28" s="499"/>
      <c r="L28" s="499"/>
      <c r="M28" s="499"/>
      <c r="N28" s="499"/>
      <c r="O28" s="420"/>
    </row>
  </sheetData>
  <sheetProtection formatColumns="0" formatRows="0" insertHyperlinks="0"/>
  <mergeCells count="18">
    <mergeCell ref="O9:O10"/>
    <mergeCell ref="D12:D27"/>
    <mergeCell ref="I9:I10"/>
    <mergeCell ref="J9:J10"/>
    <mergeCell ref="K9:K10"/>
    <mergeCell ref="L9:L10"/>
    <mergeCell ref="M9:M10"/>
    <mergeCell ref="N9:N10"/>
    <mergeCell ref="B1:C1"/>
    <mergeCell ref="K1:P1"/>
    <mergeCell ref="L2:P2"/>
    <mergeCell ref="B4:M4"/>
    <mergeCell ref="B5:M5"/>
    <mergeCell ref="B9:B10"/>
    <mergeCell ref="C9:C10"/>
    <mergeCell ref="D9:D10"/>
    <mergeCell ref="E9:E10"/>
    <mergeCell ref="F9:H9"/>
  </mergeCells>
  <hyperlinks>
    <hyperlink ref="B1" location="'Перечень форм для заполнения'!A1" display="Вернуться к перечню форм"/>
    <hyperlink ref="C28" location="'27 (потери-факт)'!A1" display="Добавить договор"/>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B1:R61"/>
  <sheetViews>
    <sheetView showGridLines="0" view="pageBreakPreview" zoomScale="70" zoomScaleNormal="70" zoomScaleSheetLayoutView="70" workbookViewId="0">
      <selection activeCell="E61" sqref="E61"/>
    </sheetView>
  </sheetViews>
  <sheetFormatPr defaultColWidth="9.140625" defaultRowHeight="12.75"/>
  <cols>
    <col min="1" max="1" width="3.7109375" style="212" customWidth="1"/>
    <col min="2" max="2" width="2.28515625" style="212" hidden="1" customWidth="1"/>
    <col min="3" max="3" width="3.28515625" style="212" hidden="1" customWidth="1"/>
    <col min="4" max="4" width="9.85546875" style="212" customWidth="1"/>
    <col min="5" max="5" width="38.7109375" style="212" customWidth="1"/>
    <col min="6" max="6" width="29.7109375" style="212" customWidth="1"/>
    <col min="7" max="7" width="25.140625" style="212" customWidth="1"/>
    <col min="8" max="8" width="25" style="212" customWidth="1"/>
    <col min="9" max="11" width="32.7109375" style="212" customWidth="1"/>
    <col min="12" max="12" width="21.5703125" style="212" customWidth="1"/>
    <col min="13" max="13" width="15.85546875" style="212" customWidth="1"/>
    <col min="14" max="14" width="22.28515625" style="212" customWidth="1"/>
    <col min="15" max="15" width="17" style="212" customWidth="1"/>
    <col min="16" max="16" width="22.28515625" style="212" customWidth="1"/>
    <col min="17" max="17" width="18.85546875" style="212" customWidth="1"/>
    <col min="18" max="18" width="17.140625" style="212" customWidth="1"/>
    <col min="19" max="16384" width="9.140625" style="212"/>
  </cols>
  <sheetData>
    <row r="1" spans="2:18" ht="15.75">
      <c r="D1" s="1025" t="s">
        <v>210</v>
      </c>
    </row>
    <row r="5" spans="2:18" ht="22.9" customHeight="1">
      <c r="D5" s="1026"/>
      <c r="E5" s="2495" t="s">
        <v>913</v>
      </c>
      <c r="F5" s="2496"/>
      <c r="G5" s="2496"/>
      <c r="H5" s="2496"/>
      <c r="I5" s="2496"/>
      <c r="J5" s="2496"/>
      <c r="K5" s="2496"/>
      <c r="L5" s="2496"/>
      <c r="M5" s="2496"/>
      <c r="N5" s="2496"/>
      <c r="O5" s="2496"/>
      <c r="P5" s="2496"/>
      <c r="Q5" s="2496"/>
      <c r="R5" s="2496"/>
    </row>
    <row r="6" spans="2:18" ht="22.9" customHeight="1">
      <c r="D6" s="2491" t="str">
        <f>'0. Анкета'!C15-2&amp;" год"</f>
        <v>2022 год</v>
      </c>
      <c r="E6" s="2491"/>
      <c r="F6" s="2491"/>
      <c r="G6" s="2491"/>
      <c r="H6" s="2491"/>
      <c r="I6" s="2491"/>
      <c r="J6" s="2491"/>
      <c r="K6" s="2491"/>
      <c r="L6" s="2491"/>
      <c r="M6" s="2491"/>
      <c r="N6" s="2491"/>
      <c r="O6" s="2491"/>
      <c r="P6" s="2491"/>
      <c r="Q6" s="2491"/>
      <c r="R6" s="2491"/>
    </row>
    <row r="7" spans="2:18" ht="23.65" customHeight="1">
      <c r="D7" s="1027" t="s">
        <v>914</v>
      </c>
      <c r="E7" s="1026"/>
      <c r="F7" s="1026"/>
      <c r="G7" s="1028"/>
      <c r="H7" s="1028"/>
      <c r="I7" s="1028"/>
      <c r="J7" s="1028"/>
      <c r="K7" s="1028"/>
      <c r="L7" s="1028"/>
      <c r="M7" s="1028"/>
      <c r="N7" s="1028"/>
      <c r="O7" s="1028"/>
      <c r="P7" s="2497" t="s">
        <v>915</v>
      </c>
      <c r="Q7" s="2497"/>
      <c r="R7" s="2497"/>
    </row>
    <row r="8" spans="2:18" ht="28.9" customHeight="1">
      <c r="D8" s="2478" t="s">
        <v>12</v>
      </c>
      <c r="E8" s="2478" t="s">
        <v>916</v>
      </c>
      <c r="F8" s="2478" t="s">
        <v>917</v>
      </c>
      <c r="G8" s="2478" t="s">
        <v>918</v>
      </c>
      <c r="H8" s="2478" t="s">
        <v>919</v>
      </c>
      <c r="I8" s="2478" t="s">
        <v>920</v>
      </c>
      <c r="J8" s="2478" t="s">
        <v>921</v>
      </c>
      <c r="K8" s="2478" t="s">
        <v>922</v>
      </c>
      <c r="L8" s="2478" t="s">
        <v>923</v>
      </c>
      <c r="M8" s="2478" t="s">
        <v>924</v>
      </c>
      <c r="N8" s="2478" t="s">
        <v>925</v>
      </c>
      <c r="O8" s="2478" t="s">
        <v>926</v>
      </c>
      <c r="P8" s="2478" t="s">
        <v>927</v>
      </c>
      <c r="Q8" s="2478" t="s">
        <v>928</v>
      </c>
      <c r="R8" s="2478" t="s">
        <v>929</v>
      </c>
    </row>
    <row r="9" spans="2:18" ht="36.6" customHeight="1">
      <c r="D9" s="2478"/>
      <c r="E9" s="2478"/>
      <c r="F9" s="2478"/>
      <c r="G9" s="2478"/>
      <c r="H9" s="2478"/>
      <c r="I9" s="2478"/>
      <c r="J9" s="2478"/>
      <c r="K9" s="2478"/>
      <c r="L9" s="2478"/>
      <c r="M9" s="2478"/>
      <c r="N9" s="2478"/>
      <c r="O9" s="2478"/>
      <c r="P9" s="2478"/>
      <c r="Q9" s="2478"/>
      <c r="R9" s="2478"/>
    </row>
    <row r="10" spans="2:18" ht="15.75">
      <c r="D10" s="1004">
        <v>1</v>
      </c>
      <c r="E10" s="1004">
        <v>2</v>
      </c>
      <c r="F10" s="1004">
        <v>3</v>
      </c>
      <c r="G10" s="1004">
        <v>4</v>
      </c>
      <c r="H10" s="1004">
        <v>5</v>
      </c>
      <c r="I10" s="1004">
        <v>6</v>
      </c>
      <c r="J10" s="1004">
        <v>7</v>
      </c>
      <c r="K10" s="1004">
        <v>8</v>
      </c>
      <c r="L10" s="1004">
        <v>9</v>
      </c>
      <c r="M10" s="1004">
        <v>10</v>
      </c>
      <c r="N10" s="1004">
        <v>11</v>
      </c>
      <c r="O10" s="1004">
        <v>12</v>
      </c>
      <c r="P10" s="1004">
        <v>13</v>
      </c>
      <c r="Q10" s="1004">
        <v>14</v>
      </c>
      <c r="R10" s="1004">
        <v>15</v>
      </c>
    </row>
    <row r="11" spans="2:18" ht="15.75">
      <c r="B11" s="212">
        <v>1</v>
      </c>
      <c r="D11" s="1029">
        <f>B11</f>
        <v>1</v>
      </c>
      <c r="E11" s="1030" t="str">
        <f>CONCATENATE("Договор ",D11)</f>
        <v>Договор 1</v>
      </c>
      <c r="F11" s="1031"/>
      <c r="G11" s="1031"/>
      <c r="H11" s="1031"/>
      <c r="I11" s="1032"/>
      <c r="J11" s="1032"/>
      <c r="K11" s="1032"/>
      <c r="L11" s="1032"/>
      <c r="M11" s="1032"/>
      <c r="N11" s="1032"/>
      <c r="O11" s="1032"/>
      <c r="P11" s="1032"/>
      <c r="Q11" s="1032"/>
      <c r="R11" s="1032"/>
    </row>
    <row r="12" spans="2:18" ht="15.75">
      <c r="C12" s="212">
        <v>1</v>
      </c>
      <c r="D12" s="1033" t="str">
        <f>CONCATENATE(D11,".",C12)</f>
        <v>1.1</v>
      </c>
      <c r="E12" s="1034" t="s">
        <v>930</v>
      </c>
      <c r="F12" s="1032"/>
      <c r="G12" s="1032"/>
      <c r="H12" s="1032"/>
      <c r="I12" s="1032"/>
      <c r="J12" s="1035">
        <f>SUBTOTAL(9,J13:J14)</f>
        <v>0</v>
      </c>
      <c r="K12" s="1035">
        <f>SUBTOTAL(9,K13:K14)</f>
        <v>0</v>
      </c>
      <c r="L12" s="1036"/>
      <c r="M12" s="1035">
        <f>SUBTOTAL(9,M13:M14)</f>
        <v>0</v>
      </c>
      <c r="N12" s="1035">
        <f>SUBTOTAL(9,N13:N14)</f>
        <v>0</v>
      </c>
      <c r="O12" s="1035">
        <f>SUBTOTAL(9,O13:O14)</f>
        <v>0</v>
      </c>
      <c r="P12" s="1035">
        <f>SUBTOTAL(9,P13:P14)</f>
        <v>0</v>
      </c>
      <c r="Q12" s="1032"/>
      <c r="R12" s="1032"/>
    </row>
    <row r="13" spans="2:18" ht="15.75">
      <c r="D13" s="1033"/>
      <c r="E13" s="1034"/>
      <c r="F13" s="1032"/>
      <c r="G13" s="1032"/>
      <c r="H13" s="1032"/>
      <c r="I13" s="1037"/>
      <c r="J13" s="1038"/>
      <c r="K13" s="1038"/>
      <c r="L13" s="1038"/>
      <c r="M13" s="1037"/>
      <c r="N13" s="1037"/>
      <c r="O13" s="1037"/>
      <c r="P13" s="1037"/>
      <c r="Q13" s="1037"/>
      <c r="R13" s="1037"/>
    </row>
    <row r="14" spans="2:18" ht="14.25" customHeight="1">
      <c r="D14" s="468"/>
      <c r="E14" s="1039" t="s">
        <v>931</v>
      </c>
      <c r="F14" s="468"/>
      <c r="G14" s="468"/>
      <c r="H14" s="468"/>
      <c r="I14" s="468"/>
      <c r="J14" s="1040"/>
      <c r="K14" s="1040"/>
      <c r="L14" s="1040"/>
      <c r="M14" s="1040"/>
      <c r="N14" s="1040"/>
      <c r="O14" s="1040"/>
      <c r="P14" s="1040"/>
      <c r="Q14" s="468"/>
      <c r="R14" s="468"/>
    </row>
    <row r="15" spans="2:18" ht="15.75">
      <c r="C15" s="212">
        <f>C12+1</f>
        <v>2</v>
      </c>
      <c r="D15" s="1033" t="str">
        <f>CONCATENATE(D11,".",C15)</f>
        <v>1.2</v>
      </c>
      <c r="E15" s="1034" t="s">
        <v>932</v>
      </c>
      <c r="F15" s="1032"/>
      <c r="G15" s="1032"/>
      <c r="H15" s="1032"/>
      <c r="I15" s="1032"/>
      <c r="J15" s="1035">
        <f>SUBTOTAL(9,J16:J17)</f>
        <v>0</v>
      </c>
      <c r="K15" s="1035">
        <f>SUBTOTAL(9,K16:K17)</f>
        <v>0</v>
      </c>
      <c r="L15" s="1036"/>
      <c r="M15" s="1035">
        <f>SUBTOTAL(9,M16:M17)</f>
        <v>0</v>
      </c>
      <c r="N15" s="1035">
        <f>SUBTOTAL(9,N16:N17)</f>
        <v>0</v>
      </c>
      <c r="O15" s="1035">
        <f>SUBTOTAL(9,O16:O17)</f>
        <v>0</v>
      </c>
      <c r="P15" s="1035">
        <f>SUBTOTAL(9,P16:P17)</f>
        <v>0</v>
      </c>
      <c r="Q15" s="1032"/>
      <c r="R15" s="1032"/>
    </row>
    <row r="16" spans="2:18" ht="15.75">
      <c r="D16" s="1033"/>
      <c r="E16" s="1034"/>
      <c r="F16" s="1032"/>
      <c r="G16" s="1032"/>
      <c r="H16" s="1032"/>
      <c r="I16" s="1037"/>
      <c r="J16" s="1038"/>
      <c r="K16" s="1038"/>
      <c r="L16" s="1038"/>
      <c r="M16" s="1037"/>
      <c r="N16" s="1037"/>
      <c r="O16" s="1037"/>
      <c r="P16" s="1037"/>
      <c r="Q16" s="1041"/>
      <c r="R16" s="1037"/>
    </row>
    <row r="17" spans="3:18" ht="14.25" customHeight="1">
      <c r="D17" s="468"/>
      <c r="E17" s="1039" t="s">
        <v>931</v>
      </c>
      <c r="F17" s="468"/>
      <c r="G17" s="468"/>
      <c r="H17" s="468"/>
      <c r="I17" s="468"/>
      <c r="J17" s="1040"/>
      <c r="K17" s="1040"/>
      <c r="L17" s="1040"/>
      <c r="M17" s="1040"/>
      <c r="N17" s="1040"/>
      <c r="O17" s="1040"/>
      <c r="P17" s="1040"/>
      <c r="Q17" s="468"/>
      <c r="R17" s="468"/>
    </row>
    <row r="18" spans="3:18" ht="15.75">
      <c r="C18" s="212">
        <f>C15+1</f>
        <v>3</v>
      </c>
      <c r="D18" s="1033" t="str">
        <f>CONCATENATE(D11,".",C18)</f>
        <v>1.3</v>
      </c>
      <c r="E18" s="1034" t="s">
        <v>933</v>
      </c>
      <c r="F18" s="1032"/>
      <c r="G18" s="1032"/>
      <c r="H18" s="1032"/>
      <c r="I18" s="1032"/>
      <c r="J18" s="1035">
        <f>SUBTOTAL(9,J19:J20)</f>
        <v>0</v>
      </c>
      <c r="K18" s="1035">
        <f>SUBTOTAL(9,K19:K20)</f>
        <v>0</v>
      </c>
      <c r="L18" s="1036"/>
      <c r="M18" s="1035">
        <f>SUBTOTAL(9,M19:M20)</f>
        <v>0</v>
      </c>
      <c r="N18" s="1035">
        <f>SUBTOTAL(9,N19:N20)</f>
        <v>0</v>
      </c>
      <c r="O18" s="1035">
        <f>SUBTOTAL(9,O19:O20)</f>
        <v>0</v>
      </c>
      <c r="P18" s="1035">
        <f>SUBTOTAL(9,P19:P20)</f>
        <v>0</v>
      </c>
      <c r="Q18" s="1032"/>
      <c r="R18" s="1032"/>
    </row>
    <row r="19" spans="3:18" ht="15.75">
      <c r="D19" s="1033"/>
      <c r="E19" s="1034"/>
      <c r="F19" s="1032"/>
      <c r="G19" s="1032"/>
      <c r="H19" s="1032"/>
      <c r="I19" s="1037"/>
      <c r="J19" s="1038"/>
      <c r="K19" s="1038"/>
      <c r="L19" s="1038"/>
      <c r="M19" s="1037"/>
      <c r="N19" s="1037"/>
      <c r="O19" s="1037"/>
      <c r="P19" s="1037"/>
      <c r="Q19" s="1041"/>
      <c r="R19" s="1037"/>
    </row>
    <row r="20" spans="3:18" ht="14.25" customHeight="1">
      <c r="D20" s="468"/>
      <c r="E20" s="1039" t="s">
        <v>931</v>
      </c>
      <c r="F20" s="468"/>
      <c r="G20" s="468"/>
      <c r="H20" s="468"/>
      <c r="I20" s="468"/>
      <c r="J20" s="1040"/>
      <c r="K20" s="1040"/>
      <c r="L20" s="1040"/>
      <c r="M20" s="1040"/>
      <c r="N20" s="1040"/>
      <c r="O20" s="1040"/>
      <c r="P20" s="1040"/>
      <c r="Q20" s="468"/>
      <c r="R20" s="468"/>
    </row>
    <row r="21" spans="3:18" ht="15.75">
      <c r="C21" s="212">
        <f>C18+1</f>
        <v>4</v>
      </c>
      <c r="D21" s="1033" t="str">
        <f>CONCATENATE(D11,".",C21)</f>
        <v>1.4</v>
      </c>
      <c r="E21" s="1034" t="s">
        <v>934</v>
      </c>
      <c r="F21" s="1032"/>
      <c r="G21" s="1032"/>
      <c r="H21" s="1032"/>
      <c r="I21" s="1032"/>
      <c r="J21" s="1035">
        <f>SUBTOTAL(9,J22:J23)</f>
        <v>0</v>
      </c>
      <c r="K21" s="1035">
        <f>SUBTOTAL(9,K22:K23)</f>
        <v>0</v>
      </c>
      <c r="L21" s="1036"/>
      <c r="M21" s="1035">
        <f>SUBTOTAL(9,M22:M23)</f>
        <v>0</v>
      </c>
      <c r="N21" s="1035">
        <f>SUBTOTAL(9,N22:N23)</f>
        <v>0</v>
      </c>
      <c r="O21" s="1035">
        <f>SUBTOTAL(9,O22:O23)</f>
        <v>0</v>
      </c>
      <c r="P21" s="1035">
        <f>SUBTOTAL(9,P22:P23)</f>
        <v>0</v>
      </c>
      <c r="Q21" s="1032"/>
      <c r="R21" s="1032"/>
    </row>
    <row r="22" spans="3:18" ht="15.75">
      <c r="D22" s="1033"/>
      <c r="E22" s="1034"/>
      <c r="F22" s="1032"/>
      <c r="G22" s="1032"/>
      <c r="H22" s="1032"/>
      <c r="I22" s="1037"/>
      <c r="J22" s="1038"/>
      <c r="K22" s="1038"/>
      <c r="L22" s="1038"/>
      <c r="M22" s="1037"/>
      <c r="N22" s="1037"/>
      <c r="O22" s="1037"/>
      <c r="P22" s="1037"/>
      <c r="Q22" s="1041"/>
      <c r="R22" s="1037"/>
    </row>
    <row r="23" spans="3:18" ht="14.25" customHeight="1">
      <c r="D23" s="468"/>
      <c r="E23" s="1039" t="s">
        <v>931</v>
      </c>
      <c r="F23" s="468"/>
      <c r="G23" s="468"/>
      <c r="H23" s="468"/>
      <c r="I23" s="468"/>
      <c r="J23" s="1040"/>
      <c r="K23" s="1040"/>
      <c r="L23" s="1040"/>
      <c r="M23" s="1040"/>
      <c r="N23" s="1040"/>
      <c r="O23" s="1040"/>
      <c r="P23" s="1040"/>
      <c r="Q23" s="468"/>
      <c r="R23" s="468"/>
    </row>
    <row r="24" spans="3:18" ht="15.75">
      <c r="C24" s="212">
        <f>C21+1</f>
        <v>5</v>
      </c>
      <c r="D24" s="1033" t="str">
        <f>CONCATENATE(D11,".",C24)</f>
        <v>1.5</v>
      </c>
      <c r="E24" s="1034" t="s">
        <v>935</v>
      </c>
      <c r="F24" s="1032"/>
      <c r="G24" s="1032"/>
      <c r="H24" s="1032"/>
      <c r="I24" s="1032"/>
      <c r="J24" s="1035">
        <f>SUBTOTAL(9,J25:J26)</f>
        <v>0</v>
      </c>
      <c r="K24" s="1035">
        <f>SUBTOTAL(9,K25:K26)</f>
        <v>0</v>
      </c>
      <c r="L24" s="1036"/>
      <c r="M24" s="1035">
        <f>SUBTOTAL(9,M25:M26)</f>
        <v>0</v>
      </c>
      <c r="N24" s="1035">
        <f>SUBTOTAL(9,N25:N26)</f>
        <v>0</v>
      </c>
      <c r="O24" s="1035">
        <f>SUBTOTAL(9,O25:O26)</f>
        <v>0</v>
      </c>
      <c r="P24" s="1035">
        <f>SUBTOTAL(9,P25:P26)</f>
        <v>0</v>
      </c>
      <c r="Q24" s="1032"/>
      <c r="R24" s="1032"/>
    </row>
    <row r="25" spans="3:18" ht="15.75">
      <c r="D25" s="1033"/>
      <c r="E25" s="1034"/>
      <c r="F25" s="1032"/>
      <c r="G25" s="1032"/>
      <c r="H25" s="1032"/>
      <c r="I25" s="1037"/>
      <c r="J25" s="1038"/>
      <c r="K25" s="1038"/>
      <c r="L25" s="1038"/>
      <c r="M25" s="1037"/>
      <c r="N25" s="1037"/>
      <c r="O25" s="1037"/>
      <c r="P25" s="1037"/>
      <c r="Q25" s="1041"/>
      <c r="R25" s="1037"/>
    </row>
    <row r="26" spans="3:18" ht="14.25" customHeight="1">
      <c r="D26" s="468"/>
      <c r="E26" s="1039" t="s">
        <v>931</v>
      </c>
      <c r="F26" s="468"/>
      <c r="G26" s="468"/>
      <c r="H26" s="468"/>
      <c r="I26" s="468"/>
      <c r="J26" s="1040"/>
      <c r="K26" s="1040"/>
      <c r="L26" s="1040"/>
      <c r="M26" s="1040"/>
      <c r="N26" s="1040"/>
      <c r="O26" s="1040"/>
      <c r="P26" s="1040"/>
      <c r="Q26" s="468"/>
      <c r="R26" s="468"/>
    </row>
    <row r="27" spans="3:18" ht="15.75">
      <c r="C27" s="212">
        <f>C24+1</f>
        <v>6</v>
      </c>
      <c r="D27" s="1033" t="str">
        <f>CONCATENATE(D11,".",C27)</f>
        <v>1.6</v>
      </c>
      <c r="E27" s="1034" t="s">
        <v>936</v>
      </c>
      <c r="F27" s="1032"/>
      <c r="G27" s="1032"/>
      <c r="H27" s="1032"/>
      <c r="I27" s="1032"/>
      <c r="J27" s="1035">
        <f>SUBTOTAL(9,J28:J29)</f>
        <v>0</v>
      </c>
      <c r="K27" s="1035">
        <f>SUBTOTAL(9,K28:K29)</f>
        <v>0</v>
      </c>
      <c r="L27" s="1036"/>
      <c r="M27" s="1035">
        <f>SUBTOTAL(9,M28:M29)</f>
        <v>0</v>
      </c>
      <c r="N27" s="1035">
        <f>SUBTOTAL(9,N28:N29)</f>
        <v>0</v>
      </c>
      <c r="O27" s="1035">
        <f>SUBTOTAL(9,O28:O29)</f>
        <v>0</v>
      </c>
      <c r="P27" s="1035">
        <f>SUBTOTAL(9,P28:P29)</f>
        <v>0</v>
      </c>
      <c r="Q27" s="1032"/>
      <c r="R27" s="1032"/>
    </row>
    <row r="28" spans="3:18" ht="15.75">
      <c r="D28" s="1033"/>
      <c r="E28" s="1034"/>
      <c r="F28" s="1032"/>
      <c r="G28" s="1032"/>
      <c r="H28" s="1032"/>
      <c r="I28" s="1037"/>
      <c r="J28" s="1038"/>
      <c r="K28" s="1038"/>
      <c r="L28" s="1038"/>
      <c r="M28" s="1037"/>
      <c r="N28" s="1037"/>
      <c r="O28" s="1037"/>
      <c r="P28" s="1037"/>
      <c r="Q28" s="1041"/>
      <c r="R28" s="1037"/>
    </row>
    <row r="29" spans="3:18" ht="14.25" customHeight="1">
      <c r="D29" s="468"/>
      <c r="E29" s="1039" t="s">
        <v>931</v>
      </c>
      <c r="F29" s="468"/>
      <c r="G29" s="468"/>
      <c r="H29" s="468"/>
      <c r="I29" s="468"/>
      <c r="J29" s="1040"/>
      <c r="K29" s="1040"/>
      <c r="L29" s="1040"/>
      <c r="M29" s="1040"/>
      <c r="N29" s="1040"/>
      <c r="O29" s="1040"/>
      <c r="P29" s="1040"/>
      <c r="Q29" s="468"/>
      <c r="R29" s="468"/>
    </row>
    <row r="30" spans="3:18" ht="15.75">
      <c r="C30" s="212">
        <f>C27+1</f>
        <v>7</v>
      </c>
      <c r="D30" s="1033" t="str">
        <f>CONCATENATE(D11,".",C30)</f>
        <v>1.7</v>
      </c>
      <c r="E30" s="1034" t="s">
        <v>937</v>
      </c>
      <c r="F30" s="1032"/>
      <c r="G30" s="1032"/>
      <c r="H30" s="1032"/>
      <c r="I30" s="1032"/>
      <c r="J30" s="1035">
        <f>SUBTOTAL(9,J31:J32)</f>
        <v>0</v>
      </c>
      <c r="K30" s="1035">
        <f>SUBTOTAL(9,K31:K32)</f>
        <v>0</v>
      </c>
      <c r="L30" s="1036"/>
      <c r="M30" s="1035">
        <f>SUBTOTAL(9,M31:M32)</f>
        <v>0</v>
      </c>
      <c r="N30" s="1035">
        <f>SUBTOTAL(9,N31:N32)</f>
        <v>0</v>
      </c>
      <c r="O30" s="1035">
        <f>SUBTOTAL(9,O31:O32)</f>
        <v>0</v>
      </c>
      <c r="P30" s="1035">
        <f>SUBTOTAL(9,P31:P32)</f>
        <v>0</v>
      </c>
      <c r="Q30" s="1032"/>
      <c r="R30" s="1032"/>
    </row>
    <row r="31" spans="3:18" ht="15.75">
      <c r="D31" s="1033"/>
      <c r="E31" s="1034"/>
      <c r="F31" s="1032"/>
      <c r="G31" s="1032"/>
      <c r="H31" s="1032"/>
      <c r="I31" s="1037"/>
      <c r="J31" s="1038"/>
      <c r="K31" s="1038"/>
      <c r="L31" s="1038"/>
      <c r="M31" s="1037"/>
      <c r="N31" s="1037"/>
      <c r="O31" s="1037"/>
      <c r="P31" s="1037"/>
      <c r="Q31" s="1041"/>
      <c r="R31" s="1037"/>
    </row>
    <row r="32" spans="3:18" ht="14.25" customHeight="1">
      <c r="D32" s="468"/>
      <c r="E32" s="1039" t="s">
        <v>931</v>
      </c>
      <c r="F32" s="468"/>
      <c r="G32" s="468"/>
      <c r="H32" s="468"/>
      <c r="I32" s="468"/>
      <c r="J32" s="1040"/>
      <c r="K32" s="1040"/>
      <c r="L32" s="1040"/>
      <c r="M32" s="1040"/>
      <c r="N32" s="1040"/>
      <c r="O32" s="1040"/>
      <c r="P32" s="1040"/>
      <c r="Q32" s="468"/>
      <c r="R32" s="468"/>
    </row>
    <row r="33" spans="3:18" ht="15.75">
      <c r="C33" s="212">
        <f>C30+1</f>
        <v>8</v>
      </c>
      <c r="D33" s="1033" t="str">
        <f>CONCATENATE(D11,".",C33)</f>
        <v>1.8</v>
      </c>
      <c r="E33" s="1034" t="s">
        <v>938</v>
      </c>
      <c r="F33" s="1032"/>
      <c r="G33" s="1032"/>
      <c r="H33" s="1032"/>
      <c r="I33" s="1032"/>
      <c r="J33" s="1035">
        <f>SUBTOTAL(9,J34:J35)</f>
        <v>0</v>
      </c>
      <c r="K33" s="1035">
        <f>SUBTOTAL(9,K34:K35)</f>
        <v>0</v>
      </c>
      <c r="L33" s="1036"/>
      <c r="M33" s="1035">
        <f>SUBTOTAL(9,M34:M35)</f>
        <v>0</v>
      </c>
      <c r="N33" s="1035">
        <f>SUBTOTAL(9,N34:N35)</f>
        <v>0</v>
      </c>
      <c r="O33" s="1035">
        <f>SUBTOTAL(9,O34:O35)</f>
        <v>0</v>
      </c>
      <c r="P33" s="1035">
        <f>SUBTOTAL(9,P34:P35)</f>
        <v>0</v>
      </c>
      <c r="Q33" s="1032"/>
      <c r="R33" s="1032"/>
    </row>
    <row r="34" spans="3:18" ht="15.75">
      <c r="D34" s="1033"/>
      <c r="E34" s="1034"/>
      <c r="F34" s="1032"/>
      <c r="G34" s="1032"/>
      <c r="H34" s="1032"/>
      <c r="I34" s="1037"/>
      <c r="J34" s="1038"/>
      <c r="K34" s="1038"/>
      <c r="L34" s="1038"/>
      <c r="M34" s="1037"/>
      <c r="N34" s="1037"/>
      <c r="O34" s="1037"/>
      <c r="P34" s="1037"/>
      <c r="Q34" s="1037"/>
      <c r="R34" s="1037"/>
    </row>
    <row r="35" spans="3:18" ht="14.25" customHeight="1">
      <c r="D35" s="468"/>
      <c r="E35" s="1039" t="s">
        <v>931</v>
      </c>
      <c r="F35" s="468"/>
      <c r="G35" s="468"/>
      <c r="H35" s="468"/>
      <c r="I35" s="468"/>
      <c r="J35" s="1040"/>
      <c r="K35" s="1040"/>
      <c r="L35" s="1040"/>
      <c r="M35" s="1040"/>
      <c r="N35" s="1040"/>
      <c r="O35" s="1040"/>
      <c r="P35" s="1040"/>
      <c r="Q35" s="468"/>
      <c r="R35" s="468"/>
    </row>
    <row r="36" spans="3:18" ht="15.75">
      <c r="C36" s="212">
        <f>C33+1</f>
        <v>9</v>
      </c>
      <c r="D36" s="1033" t="str">
        <f>CONCATENATE(D11,".",C36)</f>
        <v>1.9</v>
      </c>
      <c r="E36" s="1034" t="s">
        <v>939</v>
      </c>
      <c r="F36" s="1032"/>
      <c r="G36" s="1032"/>
      <c r="H36" s="1032"/>
      <c r="I36" s="1032"/>
      <c r="J36" s="1035">
        <f>SUBTOTAL(9,J37:J38)</f>
        <v>0</v>
      </c>
      <c r="K36" s="1035">
        <f>SUBTOTAL(9,K37:K38)</f>
        <v>0</v>
      </c>
      <c r="L36" s="1036"/>
      <c r="M36" s="1035">
        <f>SUBTOTAL(9,M37:M38)</f>
        <v>0</v>
      </c>
      <c r="N36" s="1035">
        <f>SUBTOTAL(9,N37:N38)</f>
        <v>0</v>
      </c>
      <c r="O36" s="1035">
        <f>SUBTOTAL(9,O37:O38)</f>
        <v>0</v>
      </c>
      <c r="P36" s="1035">
        <f>SUBTOTAL(9,P37:P38)</f>
        <v>0</v>
      </c>
      <c r="Q36" s="1032"/>
      <c r="R36" s="1032"/>
    </row>
    <row r="37" spans="3:18" ht="15.75">
      <c r="D37" s="1033"/>
      <c r="E37" s="1034"/>
      <c r="F37" s="1032"/>
      <c r="G37" s="1032"/>
      <c r="H37" s="1032"/>
      <c r="I37" s="1037"/>
      <c r="J37" s="1038"/>
      <c r="K37" s="1038"/>
      <c r="L37" s="1038"/>
      <c r="M37" s="1037"/>
      <c r="N37" s="1037"/>
      <c r="O37" s="1037"/>
      <c r="P37" s="1037"/>
      <c r="Q37" s="1041"/>
      <c r="R37" s="1037"/>
    </row>
    <row r="38" spans="3:18" ht="14.25" customHeight="1">
      <c r="D38" s="468"/>
      <c r="E38" s="1039" t="s">
        <v>931</v>
      </c>
      <c r="F38" s="468"/>
      <c r="G38" s="468"/>
      <c r="H38" s="468"/>
      <c r="I38" s="468"/>
      <c r="J38" s="1040"/>
      <c r="K38" s="1040"/>
      <c r="L38" s="1040"/>
      <c r="M38" s="1040"/>
      <c r="N38" s="1040"/>
      <c r="O38" s="1040"/>
      <c r="P38" s="1040"/>
      <c r="Q38" s="468"/>
      <c r="R38" s="468"/>
    </row>
    <row r="39" spans="3:18" ht="15.75">
      <c r="C39" s="212">
        <f>C36+1</f>
        <v>10</v>
      </c>
      <c r="D39" s="1033" t="str">
        <f>CONCATENATE(D11,".",C39)</f>
        <v>1.10</v>
      </c>
      <c r="E39" s="1034" t="s">
        <v>940</v>
      </c>
      <c r="F39" s="1032"/>
      <c r="G39" s="1032"/>
      <c r="H39" s="1032"/>
      <c r="I39" s="1032"/>
      <c r="J39" s="1035">
        <f>SUBTOTAL(9,J40:J41)</f>
        <v>0</v>
      </c>
      <c r="K39" s="1035">
        <f>SUBTOTAL(9,K40:K41)</f>
        <v>0</v>
      </c>
      <c r="L39" s="1036"/>
      <c r="M39" s="1035">
        <f>SUBTOTAL(9,M40:M41)</f>
        <v>0</v>
      </c>
      <c r="N39" s="1035">
        <f>SUBTOTAL(9,N40:N41)</f>
        <v>0</v>
      </c>
      <c r="O39" s="1035">
        <f>SUBTOTAL(9,O40:O41)</f>
        <v>0</v>
      </c>
      <c r="P39" s="1035">
        <f>SUBTOTAL(9,P40:P41)</f>
        <v>0</v>
      </c>
      <c r="Q39" s="1032"/>
      <c r="R39" s="1032"/>
    </row>
    <row r="40" spans="3:18" ht="15.75">
      <c r="D40" s="1033"/>
      <c r="E40" s="1034"/>
      <c r="F40" s="1032"/>
      <c r="G40" s="1032"/>
      <c r="H40" s="1032"/>
      <c r="I40" s="1037"/>
      <c r="J40" s="1038"/>
      <c r="K40" s="1038"/>
      <c r="L40" s="1038"/>
      <c r="M40" s="1037"/>
      <c r="N40" s="1037"/>
      <c r="O40" s="1037"/>
      <c r="P40" s="1037"/>
      <c r="Q40" s="1041"/>
      <c r="R40" s="1037"/>
    </row>
    <row r="41" spans="3:18" ht="14.25" customHeight="1">
      <c r="D41" s="468"/>
      <c r="E41" s="1039" t="s">
        <v>931</v>
      </c>
      <c r="F41" s="468"/>
      <c r="G41" s="468"/>
      <c r="H41" s="468"/>
      <c r="I41" s="468"/>
      <c r="J41" s="1040"/>
      <c r="K41" s="1040"/>
      <c r="L41" s="1040"/>
      <c r="M41" s="1040"/>
      <c r="N41" s="1040"/>
      <c r="O41" s="1040"/>
      <c r="P41" s="1040"/>
      <c r="Q41" s="468"/>
      <c r="R41" s="468"/>
    </row>
    <row r="42" spans="3:18" ht="15.75">
      <c r="C42" s="212">
        <f>C39+1</f>
        <v>11</v>
      </c>
      <c r="D42" s="1033" t="str">
        <f>CONCATENATE(D11,".",C42)</f>
        <v>1.11</v>
      </c>
      <c r="E42" s="1034" t="s">
        <v>941</v>
      </c>
      <c r="F42" s="1032"/>
      <c r="G42" s="1032"/>
      <c r="H42" s="1032"/>
      <c r="I42" s="1032"/>
      <c r="J42" s="1035">
        <f>SUBTOTAL(9,J43:J44)</f>
        <v>0</v>
      </c>
      <c r="K42" s="1035">
        <f>SUBTOTAL(9,K43:K44)</f>
        <v>0</v>
      </c>
      <c r="L42" s="1036"/>
      <c r="M42" s="1035">
        <f>SUBTOTAL(9,M43:M44)</f>
        <v>0</v>
      </c>
      <c r="N42" s="1035">
        <f>SUBTOTAL(9,N43:N44)</f>
        <v>0</v>
      </c>
      <c r="O42" s="1035">
        <f>SUBTOTAL(9,O43:O44)</f>
        <v>0</v>
      </c>
      <c r="P42" s="1035">
        <f>SUBTOTAL(9,P43:P44)</f>
        <v>0</v>
      </c>
      <c r="Q42" s="1032"/>
      <c r="R42" s="1032"/>
    </row>
    <row r="43" spans="3:18" ht="15.75">
      <c r="D43" s="1033"/>
      <c r="E43" s="1034"/>
      <c r="F43" s="1032"/>
      <c r="G43" s="1032"/>
      <c r="H43" s="1032"/>
      <c r="I43" s="1037"/>
      <c r="J43" s="1038"/>
      <c r="K43" s="1038"/>
      <c r="L43" s="1038"/>
      <c r="M43" s="1037"/>
      <c r="N43" s="1037"/>
      <c r="O43" s="1037"/>
      <c r="P43" s="1037"/>
      <c r="Q43" s="1041"/>
      <c r="R43" s="1037"/>
    </row>
    <row r="44" spans="3:18" ht="14.25" customHeight="1">
      <c r="D44" s="468"/>
      <c r="E44" s="1039" t="s">
        <v>931</v>
      </c>
      <c r="F44" s="468"/>
      <c r="G44" s="468"/>
      <c r="H44" s="468"/>
      <c r="I44" s="468"/>
      <c r="J44" s="1040"/>
      <c r="K44" s="1040"/>
      <c r="L44" s="1040"/>
      <c r="M44" s="1040"/>
      <c r="N44" s="1040"/>
      <c r="O44" s="1040"/>
      <c r="P44" s="1040"/>
      <c r="Q44" s="468"/>
      <c r="R44" s="468"/>
    </row>
    <row r="45" spans="3:18" ht="15.75">
      <c r="C45" s="212">
        <f>C42+1</f>
        <v>12</v>
      </c>
      <c r="D45" s="1033" t="str">
        <f>CONCATENATE(D11,".",C45)</f>
        <v>1.12</v>
      </c>
      <c r="E45" s="1034" t="s">
        <v>942</v>
      </c>
      <c r="F45" s="1032"/>
      <c r="G45" s="1032"/>
      <c r="H45" s="1032"/>
      <c r="I45" s="1032"/>
      <c r="J45" s="1035">
        <f>SUBTOTAL(9,J46:J47)</f>
        <v>0</v>
      </c>
      <c r="K45" s="1035">
        <f>SUBTOTAL(9,K46:K47)</f>
        <v>0</v>
      </c>
      <c r="L45" s="1036"/>
      <c r="M45" s="1035">
        <f>SUBTOTAL(9,M46:M47)</f>
        <v>0</v>
      </c>
      <c r="N45" s="1035">
        <f>SUBTOTAL(9,N46:N47)</f>
        <v>0</v>
      </c>
      <c r="O45" s="1035">
        <f>SUBTOTAL(9,O46:O47)</f>
        <v>0</v>
      </c>
      <c r="P45" s="1035">
        <f>SUBTOTAL(9,P46:P47)</f>
        <v>0</v>
      </c>
      <c r="Q45" s="1032"/>
      <c r="R45" s="1032"/>
    </row>
    <row r="46" spans="3:18" ht="15.75">
      <c r="D46" s="1033"/>
      <c r="E46" s="1034"/>
      <c r="F46" s="1032"/>
      <c r="G46" s="1032"/>
      <c r="H46" s="1032"/>
      <c r="I46" s="1037"/>
      <c r="J46" s="1038"/>
      <c r="K46" s="1038"/>
      <c r="L46" s="1038"/>
      <c r="M46" s="1037"/>
      <c r="N46" s="1037"/>
      <c r="O46" s="1037"/>
      <c r="P46" s="1037"/>
      <c r="Q46" s="1041"/>
      <c r="R46" s="1037"/>
    </row>
    <row r="47" spans="3:18" ht="14.25" customHeight="1">
      <c r="D47" s="468"/>
      <c r="E47" s="1039" t="s">
        <v>931</v>
      </c>
      <c r="F47" s="468"/>
      <c r="G47" s="468"/>
      <c r="H47" s="468"/>
      <c r="I47" s="468"/>
      <c r="J47" s="1040"/>
      <c r="K47" s="1040"/>
      <c r="L47" s="1040"/>
      <c r="M47" s="1040"/>
      <c r="N47" s="1040"/>
      <c r="O47" s="1040"/>
      <c r="P47" s="1040"/>
      <c r="Q47" s="468"/>
      <c r="R47" s="468"/>
    </row>
    <row r="48" spans="3:18" ht="15.75">
      <c r="C48" s="212">
        <f>C45+1</f>
        <v>13</v>
      </c>
      <c r="D48" s="1029" t="str">
        <f>CONCATENATE(D11,".",C48)</f>
        <v>1.13</v>
      </c>
      <c r="E48" s="1042" t="s">
        <v>232</v>
      </c>
      <c r="F48" s="1032"/>
      <c r="G48" s="1032"/>
      <c r="H48" s="1032"/>
      <c r="I48" s="1037"/>
      <c r="J48" s="1035">
        <f>SUBTOTAL(9,J12:J29)</f>
        <v>0</v>
      </c>
      <c r="K48" s="1035">
        <f>SUBTOTAL(9,K12:K29)</f>
        <v>0</v>
      </c>
      <c r="L48" s="1035">
        <f>SUM(L12:L29)</f>
        <v>0</v>
      </c>
      <c r="M48" s="1035">
        <f>SUBTOTAL(9,M12:M29)</f>
        <v>0</v>
      </c>
      <c r="N48" s="1035">
        <f>SUBTOTAL(9,N12:N29)</f>
        <v>0</v>
      </c>
      <c r="O48" s="1035">
        <f>SUBTOTAL(9,O12:O29)</f>
        <v>0</v>
      </c>
      <c r="P48" s="1035">
        <f>SUBTOTAL(9,P12:P29)</f>
        <v>0</v>
      </c>
      <c r="Q48" s="1037"/>
      <c r="R48" s="1037"/>
    </row>
    <row r="49" spans="3:18" ht="15.75">
      <c r="C49" s="212">
        <f>C48+1</f>
        <v>14</v>
      </c>
      <c r="D49" s="1029" t="str">
        <f>CONCATENATE(D11,".",C49)</f>
        <v>1.14</v>
      </c>
      <c r="E49" s="1042" t="s">
        <v>233</v>
      </c>
      <c r="F49" s="1032"/>
      <c r="G49" s="1032"/>
      <c r="H49" s="1032"/>
      <c r="I49" s="1037"/>
      <c r="J49" s="1035">
        <f>SUBTOTAL(9,J30:J47)</f>
        <v>0</v>
      </c>
      <c r="K49" s="1035">
        <f>SUBTOTAL(9,K30:K47)</f>
        <v>0</v>
      </c>
      <c r="L49" s="1035">
        <f>SUM(L30:L47)</f>
        <v>0</v>
      </c>
      <c r="M49" s="1035">
        <f>SUBTOTAL(9,M30:M47)</f>
        <v>0</v>
      </c>
      <c r="N49" s="1035">
        <f>SUBTOTAL(9,N30:N47)</f>
        <v>0</v>
      </c>
      <c r="O49" s="1035">
        <f>SUBTOTAL(9,O30:O47)</f>
        <v>0</v>
      </c>
      <c r="P49" s="1035">
        <f>SUBTOTAL(9,P30:P47)</f>
        <v>0</v>
      </c>
      <c r="Q49" s="1037"/>
      <c r="R49" s="1037"/>
    </row>
    <row r="50" spans="3:18" ht="15.75">
      <c r="C50" s="212">
        <f>C49+1</f>
        <v>15</v>
      </c>
      <c r="D50" s="1029" t="str">
        <f>CONCATENATE(D11,".",C50)</f>
        <v>1.15</v>
      </c>
      <c r="E50" s="1042" t="str">
        <f>'0. Анкета'!C15-2&amp;" год"</f>
        <v>2022 год</v>
      </c>
      <c r="F50" s="1032"/>
      <c r="G50" s="1032"/>
      <c r="H50" s="1032"/>
      <c r="I50" s="1037"/>
      <c r="J50" s="1035">
        <f>SUBTOTAL(9,J12:J49)</f>
        <v>0</v>
      </c>
      <c r="K50" s="1035">
        <f>SUBTOTAL(9,K12:K49)</f>
        <v>0</v>
      </c>
      <c r="L50" s="1035">
        <f>L48+L49</f>
        <v>0</v>
      </c>
      <c r="M50" s="1035">
        <f>SUBTOTAL(9,M12:M49)</f>
        <v>0</v>
      </c>
      <c r="N50" s="1035">
        <f>SUBTOTAL(9,N12:N49)</f>
        <v>0</v>
      </c>
      <c r="O50" s="1035">
        <f>SUBTOTAL(9,O12:O49)</f>
        <v>0</v>
      </c>
      <c r="P50" s="1035">
        <f>SUBTOTAL(9,P12:P49)</f>
        <v>0</v>
      </c>
      <c r="Q50" s="1037"/>
      <c r="R50" s="1037"/>
    </row>
    <row r="51" spans="3:18" ht="14.25">
      <c r="D51" s="468"/>
      <c r="E51" s="1039" t="s">
        <v>943</v>
      </c>
      <c r="F51" s="468"/>
      <c r="G51" s="468"/>
      <c r="H51" s="468"/>
      <c r="I51" s="468"/>
      <c r="J51" s="499"/>
      <c r="K51" s="499"/>
      <c r="L51" s="499"/>
      <c r="M51" s="499"/>
      <c r="N51" s="499"/>
      <c r="O51" s="499"/>
      <c r="P51" s="499"/>
      <c r="Q51" s="468"/>
      <c r="R51" s="468"/>
    </row>
    <row r="54" spans="3:18" ht="20.25">
      <c r="D54" s="1027" t="s">
        <v>944</v>
      </c>
    </row>
    <row r="56" spans="3:18" ht="22.9" customHeight="1">
      <c r="D56" s="2478" t="s">
        <v>12</v>
      </c>
      <c r="E56" s="2478" t="s">
        <v>916</v>
      </c>
      <c r="F56" s="2478" t="s">
        <v>945</v>
      </c>
      <c r="G56" s="2478" t="s">
        <v>946</v>
      </c>
      <c r="H56" s="2478" t="s">
        <v>947</v>
      </c>
      <c r="I56" s="2478" t="s">
        <v>948</v>
      </c>
      <c r="J56" s="2478" t="s">
        <v>949</v>
      </c>
      <c r="K56" s="2478" t="s">
        <v>950</v>
      </c>
      <c r="L56" s="2478" t="s">
        <v>951</v>
      </c>
    </row>
    <row r="57" spans="3:18" ht="39.6" customHeight="1">
      <c r="D57" s="2478"/>
      <c r="E57" s="2478"/>
      <c r="F57" s="2478"/>
      <c r="G57" s="2478"/>
      <c r="H57" s="2478"/>
      <c r="I57" s="2478"/>
      <c r="J57" s="2478"/>
      <c r="K57" s="2478"/>
      <c r="L57" s="2478"/>
    </row>
    <row r="58" spans="3:18" ht="15.75">
      <c r="D58" s="1004">
        <v>1</v>
      </c>
      <c r="E58" s="1004">
        <f t="shared" ref="E58:L58" si="0">D58+1</f>
        <v>2</v>
      </c>
      <c r="F58" s="1004">
        <f t="shared" si="0"/>
        <v>3</v>
      </c>
      <c r="G58" s="1004">
        <f t="shared" si="0"/>
        <v>4</v>
      </c>
      <c r="H58" s="1004">
        <f t="shared" si="0"/>
        <v>5</v>
      </c>
      <c r="I58" s="1004">
        <f t="shared" si="0"/>
        <v>6</v>
      </c>
      <c r="J58" s="1004">
        <f t="shared" si="0"/>
        <v>7</v>
      </c>
      <c r="K58" s="1004">
        <f t="shared" si="0"/>
        <v>8</v>
      </c>
      <c r="L58" s="1004">
        <f t="shared" si="0"/>
        <v>9</v>
      </c>
    </row>
    <row r="59" spans="3:18" ht="15.75">
      <c r="D59" s="1043">
        <v>1</v>
      </c>
      <c r="E59" s="1044" t="s">
        <v>232</v>
      </c>
      <c r="F59" s="1045">
        <f>SUMIF(E11:E51,"1 полугодие",N11:N51)</f>
        <v>0</v>
      </c>
      <c r="G59" s="1844"/>
      <c r="H59" s="1045">
        <f>SUMIF(E11:E51,"1 полугодие",J11:J51) + SUMIF(E11:E51,"1 полугодие",K11:K51)</f>
        <v>0</v>
      </c>
      <c r="I59" s="1045">
        <f>G59*H59/1000</f>
        <v>0</v>
      </c>
      <c r="J59" s="1045">
        <f>F59-I59</f>
        <v>0</v>
      </c>
      <c r="K59" s="1046"/>
      <c r="L59" s="1046"/>
    </row>
    <row r="60" spans="3:18" ht="15.75">
      <c r="D60" s="1043">
        <v>2</v>
      </c>
      <c r="E60" s="1044" t="s">
        <v>233</v>
      </c>
      <c r="F60" s="1045">
        <f>SUMIF(E11:E51,"2 полугодие",N11:N51)</f>
        <v>0</v>
      </c>
      <c r="G60" s="1844"/>
      <c r="H60" s="1045">
        <f>SUMIF(E11:E51,"2 полугодие",J11:J51) + SUMIF(E11:E51,"2 полугодие",K11:K51)</f>
        <v>0</v>
      </c>
      <c r="I60" s="1045">
        <f>G60*H60/1000</f>
        <v>0</v>
      </c>
      <c r="J60" s="1045">
        <f>F60-I60</f>
        <v>0</v>
      </c>
      <c r="K60" s="1046"/>
      <c r="L60" s="1046"/>
    </row>
    <row r="61" spans="3:18" ht="15.75">
      <c r="D61" s="1043">
        <v>3</v>
      </c>
      <c r="E61" s="1044" t="str">
        <f>'0. Анкета'!C15-2&amp;" год"</f>
        <v>2022 год</v>
      </c>
      <c r="F61" s="1045">
        <f>F59+F60</f>
        <v>0</v>
      </c>
      <c r="G61" s="1047"/>
      <c r="H61" s="1045">
        <f>H59+H60</f>
        <v>0</v>
      </c>
      <c r="I61" s="1045">
        <f>SUM(I59:I60)</f>
        <v>0</v>
      </c>
      <c r="J61" s="1045">
        <f>F61-I61</f>
        <v>0</v>
      </c>
      <c r="K61" s="1844"/>
      <c r="L61" s="1045">
        <f>K61-J61</f>
        <v>0</v>
      </c>
    </row>
  </sheetData>
  <sheetProtection formatColumns="0" formatRows="0" insertHyperlinks="0"/>
  <mergeCells count="27">
    <mergeCell ref="L56:L57"/>
    <mergeCell ref="Q8:Q9"/>
    <mergeCell ref="R8:R9"/>
    <mergeCell ref="D56:D57"/>
    <mergeCell ref="E56:E57"/>
    <mergeCell ref="F56:F57"/>
    <mergeCell ref="G56:G57"/>
    <mergeCell ref="H56:H57"/>
    <mergeCell ref="I56:I57"/>
    <mergeCell ref="J56:J57"/>
    <mergeCell ref="K56:K57"/>
    <mergeCell ref="K8:K9"/>
    <mergeCell ref="L8:L9"/>
    <mergeCell ref="M8:M9"/>
    <mergeCell ref="N8:N9"/>
    <mergeCell ref="O8:O9"/>
    <mergeCell ref="P8:P9"/>
    <mergeCell ref="E5:R5"/>
    <mergeCell ref="D6:R6"/>
    <mergeCell ref="P7:R7"/>
    <mergeCell ref="D8:D9"/>
    <mergeCell ref="E8:E9"/>
    <mergeCell ref="F8:F9"/>
    <mergeCell ref="G8:G9"/>
    <mergeCell ref="H8:H9"/>
    <mergeCell ref="I8:I9"/>
    <mergeCell ref="J8:J9"/>
  </mergeCells>
  <hyperlinks>
    <hyperlink ref="D1" location="'Перечень форм для заполнения'!A1" display="Вернуться к перечню форм"/>
    <hyperlink ref="E51" location="'28 (тов.выручка-факт)'!A1" display="Добавить договор"/>
    <hyperlink ref="E14" location="'28 (тов.выручка-факт)'!A1" display="Добавить договор"/>
    <hyperlink ref="E17" location="'28 (тов.выручка-факт)'!A1" display="Добавить договор"/>
    <hyperlink ref="E20" location="'28 (тов.выручка-факт)'!A1" display="Добавить договор"/>
    <hyperlink ref="E23" location="'28 (тов.выручка-факт)'!A1" display="Добавить договор"/>
    <hyperlink ref="E26" location="'28 (тов.выручка-факт)'!A1" display="Добавить договор"/>
    <hyperlink ref="E29" location="'28 (тов.выручка-факт)'!A1" display="Добавить договор"/>
    <hyperlink ref="E32" location="'28 (тов.выручка-факт)'!A1" display="Добавить договор"/>
    <hyperlink ref="E35" location="'28 (тов.выручка-факт)'!A1" display="Добавить договор"/>
    <hyperlink ref="E38" location="'28 (тов.выручка-факт)'!A1" display="Добавить договор"/>
    <hyperlink ref="E41" location="'28 (тов.выручка-факт)'!A1" display="Добавить договор"/>
    <hyperlink ref="E44" location="'28 (тов.выручка-факт)'!A1" display="Добавить договор"/>
    <hyperlink ref="E47" location="'28 (тов.выручка-факт)'!A1" display="Добавить договор"/>
  </hyperlinks>
  <pageMargins left="0.7" right="0.7" top="0.75" bottom="0.75" header="0.3" footer="0.3"/>
  <pageSetup paperSize="9" scale="36"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P38"/>
  <sheetViews>
    <sheetView showGridLines="0" zoomScale="55" zoomScaleNormal="55" workbookViewId="0">
      <selection activeCell="D8" sqref="D8:D9"/>
    </sheetView>
  </sheetViews>
  <sheetFormatPr defaultColWidth="8.85546875" defaultRowHeight="15.75"/>
  <cols>
    <col min="1" max="1" width="7.42578125" style="1048" customWidth="1"/>
    <col min="2" max="2" width="49.85546875" style="1048" customWidth="1"/>
    <col min="3" max="3" width="29.28515625" style="1048" customWidth="1"/>
    <col min="4" max="6" width="23" style="1048" customWidth="1"/>
    <col min="7" max="7" width="15.7109375" style="1048" customWidth="1"/>
    <col min="8" max="8" width="18.28515625" style="1048" customWidth="1"/>
    <col min="9" max="9" width="22.7109375" style="1048" customWidth="1"/>
    <col min="10" max="11" width="23.5703125" style="1048" customWidth="1"/>
    <col min="12" max="12" width="19.28515625" style="1048" customWidth="1"/>
    <col min="13" max="15" width="15.7109375" style="1048" customWidth="1"/>
    <col min="16" max="16" width="19.7109375" style="1048" customWidth="1"/>
    <col min="17" max="17" width="13.5703125" style="1048" customWidth="1"/>
    <col min="18" max="16384" width="8.85546875" style="1048"/>
  </cols>
  <sheetData>
    <row r="1" spans="1:16">
      <c r="A1" s="1025" t="s">
        <v>210</v>
      </c>
      <c r="B1" s="1051"/>
      <c r="K1" s="1049"/>
      <c r="L1" s="2487"/>
      <c r="M1" s="2487"/>
      <c r="N1" s="2487"/>
      <c r="O1" s="2487"/>
      <c r="P1" s="2487"/>
    </row>
    <row r="2" spans="1:16">
      <c r="A2" s="1050"/>
      <c r="B2" s="1051"/>
      <c r="K2" s="1049"/>
      <c r="L2" s="1052"/>
      <c r="M2" s="2488"/>
      <c r="N2" s="2489"/>
      <c r="O2" s="2489"/>
      <c r="P2" s="2489"/>
    </row>
    <row r="3" spans="1:16">
      <c r="A3" s="1050"/>
      <c r="B3" s="1051"/>
      <c r="K3" s="1049"/>
      <c r="L3" s="1052"/>
      <c r="M3" s="1053"/>
      <c r="N3" s="1054"/>
      <c r="O3" s="1054"/>
      <c r="P3" s="1054"/>
    </row>
    <row r="4" spans="1:16">
      <c r="A4" s="2490" t="s">
        <v>968</v>
      </c>
      <c r="B4" s="2490"/>
      <c r="C4" s="2490"/>
      <c r="D4" s="2490"/>
      <c r="E4" s="2490"/>
      <c r="F4" s="2490"/>
      <c r="G4" s="2490"/>
      <c r="H4" s="2490"/>
      <c r="I4" s="2490"/>
      <c r="J4" s="2490"/>
      <c r="K4" s="2490"/>
      <c r="L4" s="2490"/>
      <c r="M4" s="2490"/>
      <c r="N4" s="2490"/>
      <c r="O4" s="1056"/>
      <c r="P4" s="1056"/>
    </row>
    <row r="5" spans="1:16">
      <c r="A5" s="2491" t="str">
        <f>'0. Анкета'!C15-2&amp;" год, факт"</f>
        <v>2022 год, факт</v>
      </c>
      <c r="B5" s="2491"/>
      <c r="C5" s="2491"/>
      <c r="D5" s="2491"/>
      <c r="E5" s="2491"/>
      <c r="F5" s="2491"/>
      <c r="G5" s="2491"/>
      <c r="H5" s="2491"/>
      <c r="I5" s="2491"/>
      <c r="J5" s="2491"/>
      <c r="K5" s="2491"/>
      <c r="L5" s="2491"/>
      <c r="M5" s="2491"/>
      <c r="N5" s="2491"/>
      <c r="O5" s="1058"/>
      <c r="P5" s="1056"/>
    </row>
    <row r="6" spans="1:16">
      <c r="B6" s="1059"/>
      <c r="C6" s="1059"/>
      <c r="D6" s="1059"/>
      <c r="E6" s="1059"/>
      <c r="F6" s="1059"/>
      <c r="G6" s="1059"/>
      <c r="H6" s="1059"/>
      <c r="I6" s="1059"/>
      <c r="J6" s="1059"/>
      <c r="K6" s="1060"/>
      <c r="L6" s="1060"/>
      <c r="M6" s="1060"/>
      <c r="N6" s="1061"/>
    </row>
    <row r="8" spans="1:16">
      <c r="A8" s="2479" t="s">
        <v>12</v>
      </c>
      <c r="B8" s="2479" t="s">
        <v>954</v>
      </c>
      <c r="C8" s="2479" t="s">
        <v>969</v>
      </c>
      <c r="D8" s="2479" t="s">
        <v>930</v>
      </c>
      <c r="E8" s="2479" t="s">
        <v>932</v>
      </c>
      <c r="F8" s="2479" t="s">
        <v>933</v>
      </c>
      <c r="G8" s="2479" t="s">
        <v>934</v>
      </c>
      <c r="H8" s="2479" t="s">
        <v>935</v>
      </c>
      <c r="I8" s="2479" t="s">
        <v>936</v>
      </c>
      <c r="J8" s="2479" t="s">
        <v>937</v>
      </c>
      <c r="K8" s="2479" t="s">
        <v>938</v>
      </c>
      <c r="L8" s="2479" t="s">
        <v>939</v>
      </c>
      <c r="M8" s="2479" t="s">
        <v>940</v>
      </c>
      <c r="N8" s="2479" t="s">
        <v>941</v>
      </c>
      <c r="O8" s="2479" t="s">
        <v>942</v>
      </c>
      <c r="P8" s="2479" t="s">
        <v>970</v>
      </c>
    </row>
    <row r="9" spans="1:16">
      <c r="A9" s="2480"/>
      <c r="B9" s="2480"/>
      <c r="C9" s="2480"/>
      <c r="D9" s="2480">
        <v>42035</v>
      </c>
      <c r="E9" s="2480"/>
      <c r="F9" s="2480"/>
      <c r="G9" s="2480"/>
      <c r="H9" s="2480"/>
      <c r="I9" s="2480"/>
      <c r="J9" s="2480"/>
      <c r="K9" s="2480"/>
      <c r="L9" s="2480"/>
      <c r="M9" s="2480"/>
      <c r="N9" s="2480"/>
      <c r="O9" s="2480"/>
      <c r="P9" s="2480"/>
    </row>
    <row r="10" spans="1:16">
      <c r="A10" s="1004">
        <v>1</v>
      </c>
      <c r="B10" s="1062">
        <f t="shared" ref="B10:P10" si="0">A10+1</f>
        <v>2</v>
      </c>
      <c r="C10" s="1062">
        <f t="shared" si="0"/>
        <v>3</v>
      </c>
      <c r="D10" s="1062">
        <f t="shared" si="0"/>
        <v>4</v>
      </c>
      <c r="E10" s="1062">
        <f t="shared" si="0"/>
        <v>5</v>
      </c>
      <c r="F10" s="1062">
        <f t="shared" si="0"/>
        <v>6</v>
      </c>
      <c r="G10" s="1062">
        <f t="shared" si="0"/>
        <v>7</v>
      </c>
      <c r="H10" s="1062">
        <f t="shared" si="0"/>
        <v>8</v>
      </c>
      <c r="I10" s="1062">
        <f t="shared" si="0"/>
        <v>9</v>
      </c>
      <c r="J10" s="1062">
        <f t="shared" si="0"/>
        <v>10</v>
      </c>
      <c r="K10" s="1062">
        <f t="shared" si="0"/>
        <v>11</v>
      </c>
      <c r="L10" s="1062">
        <f t="shared" si="0"/>
        <v>12</v>
      </c>
      <c r="M10" s="1062">
        <f t="shared" si="0"/>
        <v>13</v>
      </c>
      <c r="N10" s="1062">
        <f t="shared" si="0"/>
        <v>14</v>
      </c>
      <c r="O10" s="1062">
        <f t="shared" si="0"/>
        <v>15</v>
      </c>
      <c r="P10" s="1062">
        <f t="shared" si="0"/>
        <v>16</v>
      </c>
    </row>
    <row r="11" spans="1:16">
      <c r="A11" s="1076">
        <v>1</v>
      </c>
      <c r="B11" s="1077" t="s">
        <v>971</v>
      </c>
      <c r="C11" s="1078" t="s">
        <v>241</v>
      </c>
      <c r="D11" s="1079"/>
      <c r="E11" s="1079"/>
      <c r="F11" s="1079"/>
      <c r="G11" s="1079"/>
      <c r="H11" s="1079"/>
      <c r="I11" s="1079"/>
      <c r="J11" s="1079"/>
      <c r="K11" s="1079"/>
      <c r="L11" s="1079"/>
      <c r="M11" s="1079"/>
      <c r="N11" s="1079"/>
      <c r="O11" s="1079"/>
      <c r="P11" s="1080">
        <f>IFERROR(AVERAGE(D11:O11),0)</f>
        <v>0</v>
      </c>
    </row>
    <row r="12" spans="1:16">
      <c r="A12" s="1076">
        <v>2</v>
      </c>
      <c r="B12" s="1077" t="s">
        <v>972</v>
      </c>
      <c r="C12" s="1078" t="s">
        <v>973</v>
      </c>
      <c r="D12" s="1079"/>
      <c r="E12" s="1079"/>
      <c r="F12" s="1079"/>
      <c r="G12" s="1079"/>
      <c r="H12" s="1079"/>
      <c r="I12" s="1079"/>
      <c r="J12" s="1079"/>
      <c r="K12" s="1079"/>
      <c r="L12" s="1079"/>
      <c r="M12" s="1079"/>
      <c r="N12" s="1079"/>
      <c r="O12" s="1079"/>
      <c r="P12" s="1080">
        <f>IFERROR(SUM(D13:O13)/SUM(D11:O11),0)</f>
        <v>0</v>
      </c>
    </row>
    <row r="13" spans="1:16" ht="31.5">
      <c r="A13" s="1076">
        <v>3</v>
      </c>
      <c r="B13" s="1077" t="s">
        <v>974</v>
      </c>
      <c r="C13" s="1078" t="s">
        <v>578</v>
      </c>
      <c r="D13" s="1080">
        <f>D11*D12</f>
        <v>0</v>
      </c>
      <c r="E13" s="1080">
        <f t="shared" ref="E13:O13" si="1">E11*E12</f>
        <v>0</v>
      </c>
      <c r="F13" s="1080">
        <f t="shared" si="1"/>
        <v>0</v>
      </c>
      <c r="G13" s="1080">
        <f t="shared" si="1"/>
        <v>0</v>
      </c>
      <c r="H13" s="1080">
        <f t="shared" si="1"/>
        <v>0</v>
      </c>
      <c r="I13" s="1080">
        <f t="shared" si="1"/>
        <v>0</v>
      </c>
      <c r="J13" s="1080">
        <f t="shared" si="1"/>
        <v>0</v>
      </c>
      <c r="K13" s="1080">
        <f t="shared" si="1"/>
        <v>0</v>
      </c>
      <c r="L13" s="1080">
        <f t="shared" si="1"/>
        <v>0</v>
      </c>
      <c r="M13" s="1080">
        <f t="shared" si="1"/>
        <v>0</v>
      </c>
      <c r="N13" s="1080">
        <f t="shared" si="1"/>
        <v>0</v>
      </c>
      <c r="O13" s="1080">
        <f t="shared" si="1"/>
        <v>0</v>
      </c>
      <c r="P13" s="1080">
        <f t="shared" ref="P13:P22" si="2">SUM(D13:O13)</f>
        <v>0</v>
      </c>
    </row>
    <row r="14" spans="1:16" ht="47.25">
      <c r="A14" s="1076" t="s">
        <v>14</v>
      </c>
      <c r="B14" s="1077" t="s">
        <v>975</v>
      </c>
      <c r="C14" s="1078" t="s">
        <v>976</v>
      </c>
      <c r="D14" s="1079"/>
      <c r="E14" s="1079"/>
      <c r="F14" s="1079"/>
      <c r="G14" s="1079"/>
      <c r="H14" s="1079"/>
      <c r="I14" s="1079"/>
      <c r="J14" s="1079"/>
      <c r="K14" s="1079"/>
      <c r="L14" s="1079"/>
      <c r="M14" s="1079"/>
      <c r="N14" s="1079"/>
      <c r="O14" s="1079"/>
      <c r="P14" s="1080">
        <f t="shared" si="2"/>
        <v>0</v>
      </c>
    </row>
    <row r="15" spans="1:16" ht="63">
      <c r="A15" s="1076" t="s">
        <v>384</v>
      </c>
      <c r="B15" s="1077" t="s">
        <v>977</v>
      </c>
      <c r="C15" s="1078" t="s">
        <v>976</v>
      </c>
      <c r="D15" s="1079"/>
      <c r="E15" s="1079"/>
      <c r="F15" s="1079"/>
      <c r="G15" s="1079"/>
      <c r="H15" s="1079"/>
      <c r="I15" s="1079"/>
      <c r="J15" s="1079"/>
      <c r="K15" s="1079"/>
      <c r="L15" s="1079"/>
      <c r="M15" s="1079"/>
      <c r="N15" s="1079"/>
      <c r="O15" s="1079"/>
      <c r="P15" s="1080">
        <f t="shared" si="2"/>
        <v>0</v>
      </c>
    </row>
    <row r="16" spans="1:16" ht="63">
      <c r="A16" s="1076" t="s">
        <v>385</v>
      </c>
      <c r="B16" s="1077" t="s">
        <v>978</v>
      </c>
      <c r="C16" s="1078" t="s">
        <v>976</v>
      </c>
      <c r="D16" s="1079"/>
      <c r="E16" s="1079"/>
      <c r="F16" s="1079"/>
      <c r="G16" s="1079"/>
      <c r="H16" s="1079"/>
      <c r="I16" s="1079"/>
      <c r="J16" s="1079"/>
      <c r="K16" s="1079"/>
      <c r="L16" s="1079"/>
      <c r="M16" s="1079"/>
      <c r="N16" s="1079"/>
      <c r="O16" s="1079"/>
      <c r="P16" s="1080">
        <f t="shared" si="2"/>
        <v>0</v>
      </c>
    </row>
    <row r="17" spans="1:16" ht="47.25">
      <c r="A17" s="1076" t="s">
        <v>386</v>
      </c>
      <c r="B17" s="1077" t="s">
        <v>979</v>
      </c>
      <c r="C17" s="1078" t="s">
        <v>976</v>
      </c>
      <c r="D17" s="1079"/>
      <c r="E17" s="1079"/>
      <c r="F17" s="1079"/>
      <c r="G17" s="1079"/>
      <c r="H17" s="1079"/>
      <c r="I17" s="1079"/>
      <c r="J17" s="1079"/>
      <c r="K17" s="1079"/>
      <c r="L17" s="1079"/>
      <c r="M17" s="1079"/>
      <c r="N17" s="1079"/>
      <c r="O17" s="1079"/>
      <c r="P17" s="1080">
        <f t="shared" si="2"/>
        <v>0</v>
      </c>
    </row>
    <row r="18" spans="1:16" ht="63">
      <c r="A18" s="1076" t="s">
        <v>387</v>
      </c>
      <c r="B18" s="1077" t="s">
        <v>980</v>
      </c>
      <c r="C18" s="1078" t="s">
        <v>976</v>
      </c>
      <c r="D18" s="1079"/>
      <c r="E18" s="1079"/>
      <c r="F18" s="1079"/>
      <c r="G18" s="1079"/>
      <c r="H18" s="1079"/>
      <c r="I18" s="1079"/>
      <c r="J18" s="1079"/>
      <c r="K18" s="1079"/>
      <c r="L18" s="1079"/>
      <c r="M18" s="1079"/>
      <c r="N18" s="1079"/>
      <c r="O18" s="1079"/>
      <c r="P18" s="1080">
        <f t="shared" si="2"/>
        <v>0</v>
      </c>
    </row>
    <row r="19" spans="1:16" ht="63">
      <c r="A19" s="1076" t="s">
        <v>981</v>
      </c>
      <c r="B19" s="1077" t="s">
        <v>982</v>
      </c>
      <c r="C19" s="1078" t="s">
        <v>976</v>
      </c>
      <c r="D19" s="1079"/>
      <c r="E19" s="1079"/>
      <c r="F19" s="1079"/>
      <c r="G19" s="1079"/>
      <c r="H19" s="1079"/>
      <c r="I19" s="1079"/>
      <c r="J19" s="1079"/>
      <c r="K19" s="1079"/>
      <c r="L19" s="1079"/>
      <c r="M19" s="1079"/>
      <c r="N19" s="1079"/>
      <c r="O19" s="1079"/>
      <c r="P19" s="1080">
        <f t="shared" si="2"/>
        <v>0</v>
      </c>
    </row>
    <row r="20" spans="1:16" ht="63">
      <c r="A20" s="1076" t="s">
        <v>390</v>
      </c>
      <c r="B20" s="1077" t="s">
        <v>983</v>
      </c>
      <c r="C20" s="1078" t="s">
        <v>976</v>
      </c>
      <c r="D20" s="1079"/>
      <c r="E20" s="1079"/>
      <c r="F20" s="1079"/>
      <c r="G20" s="1079"/>
      <c r="H20" s="1079"/>
      <c r="I20" s="1079"/>
      <c r="J20" s="1079"/>
      <c r="K20" s="1079"/>
      <c r="L20" s="1079"/>
      <c r="M20" s="1079"/>
      <c r="N20" s="1079"/>
      <c r="O20" s="1079"/>
      <c r="P20" s="1080">
        <f t="shared" si="2"/>
        <v>0</v>
      </c>
    </row>
    <row r="21" spans="1:16" ht="78.75">
      <c r="A21" s="1076" t="s">
        <v>391</v>
      </c>
      <c r="B21" s="1077" t="s">
        <v>984</v>
      </c>
      <c r="C21" s="1078" t="s">
        <v>976</v>
      </c>
      <c r="D21" s="1079"/>
      <c r="E21" s="1079"/>
      <c r="F21" s="1079"/>
      <c r="G21" s="1079"/>
      <c r="H21" s="1079"/>
      <c r="I21" s="1079"/>
      <c r="J21" s="1079"/>
      <c r="K21" s="1079"/>
      <c r="L21" s="1079"/>
      <c r="M21" s="1079"/>
      <c r="N21" s="1079"/>
      <c r="O21" s="1079"/>
      <c r="P21" s="1080">
        <f t="shared" si="2"/>
        <v>0</v>
      </c>
    </row>
    <row r="22" spans="1:16" ht="78.75">
      <c r="A22" s="1076" t="s">
        <v>392</v>
      </c>
      <c r="B22" s="1077" t="s">
        <v>985</v>
      </c>
      <c r="C22" s="1078" t="s">
        <v>976</v>
      </c>
      <c r="D22" s="1079"/>
      <c r="E22" s="1079"/>
      <c r="F22" s="1079"/>
      <c r="G22" s="1079"/>
      <c r="H22" s="1079"/>
      <c r="I22" s="1079"/>
      <c r="J22" s="1079"/>
      <c r="K22" s="1079"/>
      <c r="L22" s="1079"/>
      <c r="M22" s="1079"/>
      <c r="N22" s="1079"/>
      <c r="O22" s="1079"/>
      <c r="P22" s="1080">
        <f t="shared" si="2"/>
        <v>0</v>
      </c>
    </row>
    <row r="23" spans="1:16" ht="47.25">
      <c r="A23" s="1076" t="s">
        <v>393</v>
      </c>
      <c r="B23" s="1077" t="s">
        <v>986</v>
      </c>
      <c r="C23" s="1078" t="s">
        <v>268</v>
      </c>
      <c r="D23" s="1081"/>
      <c r="E23" s="1081"/>
      <c r="F23" s="1081"/>
      <c r="G23" s="1081"/>
      <c r="H23" s="1081"/>
      <c r="I23" s="1081"/>
      <c r="J23" s="1081"/>
      <c r="K23" s="1081"/>
      <c r="L23" s="1081"/>
      <c r="M23" s="1081"/>
      <c r="N23" s="1081"/>
      <c r="O23" s="1081"/>
      <c r="P23" s="1082">
        <f>IFERROR(SUMPRODUCT(D23:O23,D16:O16)/SUM(D16:O16),0)</f>
        <v>0</v>
      </c>
    </row>
    <row r="24" spans="1:16" ht="47.25">
      <c r="A24" s="1076" t="s">
        <v>1</v>
      </c>
      <c r="B24" s="1077" t="s">
        <v>987</v>
      </c>
      <c r="C24" s="1078" t="s">
        <v>268</v>
      </c>
      <c r="D24" s="1081"/>
      <c r="E24" s="1081"/>
      <c r="F24" s="1081"/>
      <c r="G24" s="1081"/>
      <c r="H24" s="1081"/>
      <c r="I24" s="1081"/>
      <c r="J24" s="1081"/>
      <c r="K24" s="1081"/>
      <c r="L24" s="1081"/>
      <c r="M24" s="1081"/>
      <c r="N24" s="1081"/>
      <c r="O24" s="1081"/>
      <c r="P24" s="1082">
        <f>IFERROR(SUMPRODUCT(D24:O24,D19:O19)/SUM(D19:O19),0)</f>
        <v>0</v>
      </c>
    </row>
    <row r="25" spans="1:16" ht="63">
      <c r="A25" s="1076" t="s">
        <v>395</v>
      </c>
      <c r="B25" s="1077" t="s">
        <v>988</v>
      </c>
      <c r="C25" s="1078" t="s">
        <v>268</v>
      </c>
      <c r="D25" s="1081"/>
      <c r="E25" s="1081"/>
      <c r="F25" s="1081"/>
      <c r="G25" s="1081"/>
      <c r="H25" s="1081"/>
      <c r="I25" s="1081"/>
      <c r="J25" s="1081"/>
      <c r="K25" s="1081"/>
      <c r="L25" s="1081"/>
      <c r="M25" s="1081"/>
      <c r="N25" s="1081"/>
      <c r="O25" s="1081"/>
      <c r="P25" s="1082">
        <f>IFERROR(SUMPRODUCT(D25:O25,D22:O22)/SUM(D22:O22),0)</f>
        <v>0</v>
      </c>
    </row>
    <row r="26" spans="1:16" ht="78.75">
      <c r="A26" s="1076" t="s">
        <v>398</v>
      </c>
      <c r="B26" s="1077" t="s">
        <v>989</v>
      </c>
      <c r="C26" s="1078" t="s">
        <v>976</v>
      </c>
      <c r="D26" s="1080">
        <f>D16*D23</f>
        <v>0</v>
      </c>
      <c r="E26" s="1080">
        <f t="shared" ref="E26:O26" si="3">E16*E23</f>
        <v>0</v>
      </c>
      <c r="F26" s="1080">
        <f t="shared" si="3"/>
        <v>0</v>
      </c>
      <c r="G26" s="1080">
        <f t="shared" si="3"/>
        <v>0</v>
      </c>
      <c r="H26" s="1080">
        <f t="shared" si="3"/>
        <v>0</v>
      </c>
      <c r="I26" s="1080">
        <f t="shared" si="3"/>
        <v>0</v>
      </c>
      <c r="J26" s="1080">
        <f t="shared" si="3"/>
        <v>0</v>
      </c>
      <c r="K26" s="1080">
        <f t="shared" si="3"/>
        <v>0</v>
      </c>
      <c r="L26" s="1080">
        <f t="shared" si="3"/>
        <v>0</v>
      </c>
      <c r="M26" s="1080">
        <f t="shared" si="3"/>
        <v>0</v>
      </c>
      <c r="N26" s="1080">
        <f t="shared" si="3"/>
        <v>0</v>
      </c>
      <c r="O26" s="1080">
        <f t="shared" si="3"/>
        <v>0</v>
      </c>
      <c r="P26" s="1080">
        <f>SUM(D26:O26)</f>
        <v>0</v>
      </c>
    </row>
    <row r="27" spans="1:16" ht="78.75">
      <c r="A27" s="1076" t="s">
        <v>399</v>
      </c>
      <c r="B27" s="1077" t="s">
        <v>990</v>
      </c>
      <c r="C27" s="1078" t="s">
        <v>976</v>
      </c>
      <c r="D27" s="1080">
        <f t="shared" ref="D27:O27" si="4">D19*D24</f>
        <v>0</v>
      </c>
      <c r="E27" s="1080">
        <f t="shared" si="4"/>
        <v>0</v>
      </c>
      <c r="F27" s="1080">
        <f t="shared" si="4"/>
        <v>0</v>
      </c>
      <c r="G27" s="1080">
        <f t="shared" si="4"/>
        <v>0</v>
      </c>
      <c r="H27" s="1080">
        <f t="shared" si="4"/>
        <v>0</v>
      </c>
      <c r="I27" s="1080">
        <f t="shared" si="4"/>
        <v>0</v>
      </c>
      <c r="J27" s="1080">
        <f t="shared" si="4"/>
        <v>0</v>
      </c>
      <c r="K27" s="1080">
        <f t="shared" si="4"/>
        <v>0</v>
      </c>
      <c r="L27" s="1080">
        <f t="shared" si="4"/>
        <v>0</v>
      </c>
      <c r="M27" s="1080">
        <f t="shared" si="4"/>
        <v>0</v>
      </c>
      <c r="N27" s="1080">
        <f t="shared" si="4"/>
        <v>0</v>
      </c>
      <c r="O27" s="1080">
        <f t="shared" si="4"/>
        <v>0</v>
      </c>
      <c r="P27" s="1080">
        <f>SUM(D27:O27)</f>
        <v>0</v>
      </c>
    </row>
    <row r="28" spans="1:16" ht="78.75">
      <c r="A28" s="1076" t="s">
        <v>400</v>
      </c>
      <c r="B28" s="1077" t="s">
        <v>991</v>
      </c>
      <c r="C28" s="1078" t="s">
        <v>976</v>
      </c>
      <c r="D28" s="1080">
        <f t="shared" ref="D28:O28" si="5">D22*D25</f>
        <v>0</v>
      </c>
      <c r="E28" s="1080">
        <f t="shared" si="5"/>
        <v>0</v>
      </c>
      <c r="F28" s="1080">
        <f t="shared" si="5"/>
        <v>0</v>
      </c>
      <c r="G28" s="1080">
        <f t="shared" si="5"/>
        <v>0</v>
      </c>
      <c r="H28" s="1080">
        <f t="shared" si="5"/>
        <v>0</v>
      </c>
      <c r="I28" s="1080">
        <f t="shared" si="5"/>
        <v>0</v>
      </c>
      <c r="J28" s="1080">
        <f t="shared" si="5"/>
        <v>0</v>
      </c>
      <c r="K28" s="1080">
        <f t="shared" si="5"/>
        <v>0</v>
      </c>
      <c r="L28" s="1080">
        <f t="shared" si="5"/>
        <v>0</v>
      </c>
      <c r="M28" s="1080">
        <f t="shared" si="5"/>
        <v>0</v>
      </c>
      <c r="N28" s="1080">
        <f t="shared" si="5"/>
        <v>0</v>
      </c>
      <c r="O28" s="1080">
        <f t="shared" si="5"/>
        <v>0</v>
      </c>
      <c r="P28" s="1080">
        <f>SUM(D28:O28)</f>
        <v>0</v>
      </c>
    </row>
    <row r="29" spans="1:16" ht="78.75">
      <c r="A29" s="1076" t="s">
        <v>401</v>
      </c>
      <c r="B29" s="1077" t="s">
        <v>992</v>
      </c>
      <c r="C29" s="1078" t="s">
        <v>993</v>
      </c>
      <c r="D29" s="1079"/>
      <c r="E29" s="1079"/>
      <c r="F29" s="1079"/>
      <c r="G29" s="1079"/>
      <c r="H29" s="1079"/>
      <c r="I29" s="1079"/>
      <c r="J29" s="1079"/>
      <c r="K29" s="1079"/>
      <c r="L29" s="1079"/>
      <c r="M29" s="1079"/>
      <c r="N29" s="1079"/>
      <c r="O29" s="1079"/>
      <c r="P29" s="1083"/>
    </row>
    <row r="30" spans="1:16" ht="94.5">
      <c r="A30" s="1076" t="s">
        <v>402</v>
      </c>
      <c r="B30" s="1077" t="s">
        <v>994</v>
      </c>
      <c r="C30" s="1078" t="s">
        <v>993</v>
      </c>
      <c r="D30" s="1079"/>
      <c r="E30" s="1079"/>
      <c r="F30" s="1079"/>
      <c r="G30" s="1079"/>
      <c r="H30" s="1079"/>
      <c r="I30" s="1079"/>
      <c r="J30" s="1079"/>
      <c r="K30" s="1079"/>
      <c r="L30" s="1079"/>
      <c r="M30" s="1079"/>
      <c r="N30" s="1079"/>
      <c r="O30" s="1079"/>
      <c r="P30" s="1084"/>
    </row>
    <row r="31" spans="1:16" ht="78.75">
      <c r="A31" s="1076" t="s">
        <v>404</v>
      </c>
      <c r="B31" s="1077" t="s">
        <v>995</v>
      </c>
      <c r="C31" s="1078" t="s">
        <v>578</v>
      </c>
      <c r="D31" s="1080">
        <f t="shared" ref="D31:O31" si="6">D29*D26</f>
        <v>0</v>
      </c>
      <c r="E31" s="1080">
        <f t="shared" si="6"/>
        <v>0</v>
      </c>
      <c r="F31" s="1080">
        <f t="shared" si="6"/>
        <v>0</v>
      </c>
      <c r="G31" s="1080">
        <f t="shared" si="6"/>
        <v>0</v>
      </c>
      <c r="H31" s="1080">
        <f t="shared" si="6"/>
        <v>0</v>
      </c>
      <c r="I31" s="1080">
        <f t="shared" si="6"/>
        <v>0</v>
      </c>
      <c r="J31" s="1080">
        <f t="shared" si="6"/>
        <v>0</v>
      </c>
      <c r="K31" s="1080">
        <f t="shared" si="6"/>
        <v>0</v>
      </c>
      <c r="L31" s="1080">
        <f t="shared" si="6"/>
        <v>0</v>
      </c>
      <c r="M31" s="1080">
        <f t="shared" si="6"/>
        <v>0</v>
      </c>
      <c r="N31" s="1080">
        <f t="shared" si="6"/>
        <v>0</v>
      </c>
      <c r="O31" s="1080">
        <f t="shared" si="6"/>
        <v>0</v>
      </c>
      <c r="P31" s="1080">
        <f t="shared" ref="P31:P38" si="7">SUM(D31:O31)</f>
        <v>0</v>
      </c>
    </row>
    <row r="32" spans="1:16" ht="78.75">
      <c r="A32" s="1076" t="s">
        <v>405</v>
      </c>
      <c r="B32" s="1077" t="s">
        <v>996</v>
      </c>
      <c r="C32" s="1078" t="s">
        <v>578</v>
      </c>
      <c r="D32" s="1080">
        <f t="shared" ref="D32:O33" si="8">D29*D27</f>
        <v>0</v>
      </c>
      <c r="E32" s="1080">
        <f t="shared" si="8"/>
        <v>0</v>
      </c>
      <c r="F32" s="1080">
        <f t="shared" si="8"/>
        <v>0</v>
      </c>
      <c r="G32" s="1080">
        <f t="shared" si="8"/>
        <v>0</v>
      </c>
      <c r="H32" s="1080">
        <f t="shared" si="8"/>
        <v>0</v>
      </c>
      <c r="I32" s="1080">
        <f t="shared" si="8"/>
        <v>0</v>
      </c>
      <c r="J32" s="1080">
        <f t="shared" si="8"/>
        <v>0</v>
      </c>
      <c r="K32" s="1080">
        <f t="shared" si="8"/>
        <v>0</v>
      </c>
      <c r="L32" s="1080">
        <f t="shared" si="8"/>
        <v>0</v>
      </c>
      <c r="M32" s="1080">
        <f t="shared" si="8"/>
        <v>0</v>
      </c>
      <c r="N32" s="1080">
        <f t="shared" si="8"/>
        <v>0</v>
      </c>
      <c r="O32" s="1080">
        <f t="shared" si="8"/>
        <v>0</v>
      </c>
      <c r="P32" s="1080">
        <f t="shared" si="7"/>
        <v>0</v>
      </c>
    </row>
    <row r="33" spans="1:16" ht="78.75">
      <c r="A33" s="1076" t="s">
        <v>406</v>
      </c>
      <c r="B33" s="1077" t="s">
        <v>997</v>
      </c>
      <c r="C33" s="1078" t="s">
        <v>578</v>
      </c>
      <c r="D33" s="1080">
        <f t="shared" si="8"/>
        <v>0</v>
      </c>
      <c r="E33" s="1080">
        <f t="shared" si="8"/>
        <v>0</v>
      </c>
      <c r="F33" s="1080">
        <f t="shared" si="8"/>
        <v>0</v>
      </c>
      <c r="G33" s="1080">
        <f t="shared" si="8"/>
        <v>0</v>
      </c>
      <c r="H33" s="1080">
        <f t="shared" si="8"/>
        <v>0</v>
      </c>
      <c r="I33" s="1080">
        <f t="shared" si="8"/>
        <v>0</v>
      </c>
      <c r="J33" s="1080">
        <f t="shared" si="8"/>
        <v>0</v>
      </c>
      <c r="K33" s="1080">
        <f t="shared" si="8"/>
        <v>0</v>
      </c>
      <c r="L33" s="1080">
        <f t="shared" si="8"/>
        <v>0</v>
      </c>
      <c r="M33" s="1080">
        <f t="shared" si="8"/>
        <v>0</v>
      </c>
      <c r="N33" s="1080">
        <f t="shared" si="8"/>
        <v>0</v>
      </c>
      <c r="O33" s="1080">
        <f t="shared" si="8"/>
        <v>0</v>
      </c>
      <c r="P33" s="1080">
        <f t="shared" si="7"/>
        <v>0</v>
      </c>
    </row>
    <row r="34" spans="1:16" ht="47.25">
      <c r="A34" s="1076" t="s">
        <v>407</v>
      </c>
      <c r="B34" s="1077" t="s">
        <v>998</v>
      </c>
      <c r="C34" s="1078" t="s">
        <v>976</v>
      </c>
      <c r="D34" s="1079"/>
      <c r="E34" s="1079"/>
      <c r="F34" s="1079"/>
      <c r="G34" s="1079"/>
      <c r="H34" s="1079"/>
      <c r="I34" s="1079"/>
      <c r="J34" s="1079"/>
      <c r="K34" s="1079"/>
      <c r="L34" s="1079"/>
      <c r="M34" s="1079"/>
      <c r="N34" s="1079"/>
      <c r="O34" s="1079"/>
      <c r="P34" s="1080">
        <f t="shared" si="7"/>
        <v>0</v>
      </c>
    </row>
    <row r="35" spans="1:16" ht="47.25">
      <c r="A35" s="1076" t="s">
        <v>999</v>
      </c>
      <c r="B35" s="1077" t="s">
        <v>1000</v>
      </c>
      <c r="C35" s="1078" t="s">
        <v>578</v>
      </c>
      <c r="D35" s="1079"/>
      <c r="E35" s="1079"/>
      <c r="F35" s="1079"/>
      <c r="G35" s="1079"/>
      <c r="H35" s="1079"/>
      <c r="I35" s="1079"/>
      <c r="J35" s="1079"/>
      <c r="K35" s="1079"/>
      <c r="L35" s="1079"/>
      <c r="M35" s="1079"/>
      <c r="N35" s="1079"/>
      <c r="O35" s="1079"/>
      <c r="P35" s="1080">
        <f t="shared" si="7"/>
        <v>0</v>
      </c>
    </row>
    <row r="36" spans="1:16" ht="63">
      <c r="A36" s="1085" t="s">
        <v>1001</v>
      </c>
      <c r="B36" s="1086" t="s">
        <v>1002</v>
      </c>
      <c r="C36" s="1087" t="s">
        <v>578</v>
      </c>
      <c r="D36" s="1080">
        <f t="shared" ref="D36:O36" si="9">SUM(D13,D31:D33)-D35</f>
        <v>0</v>
      </c>
      <c r="E36" s="1080">
        <f t="shared" si="9"/>
        <v>0</v>
      </c>
      <c r="F36" s="1080">
        <f t="shared" si="9"/>
        <v>0</v>
      </c>
      <c r="G36" s="1080">
        <f t="shared" si="9"/>
        <v>0</v>
      </c>
      <c r="H36" s="1080">
        <f t="shared" si="9"/>
        <v>0</v>
      </c>
      <c r="I36" s="1080">
        <f t="shared" si="9"/>
        <v>0</v>
      </c>
      <c r="J36" s="1080">
        <f t="shared" si="9"/>
        <v>0</v>
      </c>
      <c r="K36" s="1080">
        <f t="shared" si="9"/>
        <v>0</v>
      </c>
      <c r="L36" s="1080">
        <f t="shared" si="9"/>
        <v>0</v>
      </c>
      <c r="M36" s="1080">
        <f t="shared" si="9"/>
        <v>0</v>
      </c>
      <c r="N36" s="1080">
        <f t="shared" si="9"/>
        <v>0</v>
      </c>
      <c r="O36" s="1080">
        <f t="shared" si="9"/>
        <v>0</v>
      </c>
      <c r="P36" s="1080">
        <f t="shared" si="7"/>
        <v>0</v>
      </c>
    </row>
    <row r="37" spans="1:16">
      <c r="A37" s="1088" t="s">
        <v>1003</v>
      </c>
      <c r="B37" s="1089" t="s">
        <v>1004</v>
      </c>
      <c r="C37" s="1090" t="s">
        <v>578</v>
      </c>
      <c r="D37" s="1079"/>
      <c r="E37" s="1079"/>
      <c r="F37" s="1079"/>
      <c r="G37" s="1079"/>
      <c r="H37" s="1079"/>
      <c r="I37" s="1079"/>
      <c r="J37" s="1079"/>
      <c r="K37" s="1079"/>
      <c r="L37" s="1079"/>
      <c r="M37" s="1079"/>
      <c r="N37" s="1079"/>
      <c r="O37" s="1079"/>
      <c r="P37" s="1080">
        <f t="shared" si="7"/>
        <v>0</v>
      </c>
    </row>
    <row r="38" spans="1:16" ht="63">
      <c r="A38" s="1088" t="s">
        <v>205</v>
      </c>
      <c r="B38" s="1089" t="s">
        <v>1005</v>
      </c>
      <c r="C38" s="1090" t="s">
        <v>578</v>
      </c>
      <c r="D38" s="1080">
        <f t="shared" ref="D38:O38" si="10">SUM(D36:D37)</f>
        <v>0</v>
      </c>
      <c r="E38" s="1080">
        <f t="shared" si="10"/>
        <v>0</v>
      </c>
      <c r="F38" s="1080">
        <f t="shared" si="10"/>
        <v>0</v>
      </c>
      <c r="G38" s="1080">
        <f t="shared" si="10"/>
        <v>0</v>
      </c>
      <c r="H38" s="1080">
        <f t="shared" si="10"/>
        <v>0</v>
      </c>
      <c r="I38" s="1080">
        <f t="shared" si="10"/>
        <v>0</v>
      </c>
      <c r="J38" s="1080">
        <f t="shared" si="10"/>
        <v>0</v>
      </c>
      <c r="K38" s="1080">
        <f t="shared" si="10"/>
        <v>0</v>
      </c>
      <c r="L38" s="1080">
        <f t="shared" si="10"/>
        <v>0</v>
      </c>
      <c r="M38" s="1080">
        <f t="shared" si="10"/>
        <v>0</v>
      </c>
      <c r="N38" s="1080">
        <f t="shared" si="10"/>
        <v>0</v>
      </c>
      <c r="O38" s="1080">
        <f t="shared" si="10"/>
        <v>0</v>
      </c>
      <c r="P38" s="1080">
        <f t="shared" si="7"/>
        <v>0</v>
      </c>
    </row>
  </sheetData>
  <sheetProtection formatColumns="0" formatRows="0" insertHyperlinks="0"/>
  <mergeCells count="20">
    <mergeCell ref="L1:P1"/>
    <mergeCell ref="M2:P2"/>
    <mergeCell ref="A4:N4"/>
    <mergeCell ref="A5:N5"/>
    <mergeCell ref="A8:A9"/>
    <mergeCell ref="B8:B9"/>
    <mergeCell ref="C8:C9"/>
    <mergeCell ref="D8:D9"/>
    <mergeCell ref="E8:E9"/>
    <mergeCell ref="F8:F9"/>
    <mergeCell ref="M8:M9"/>
    <mergeCell ref="N8:N9"/>
    <mergeCell ref="O8:O9"/>
    <mergeCell ref="P8:P9"/>
    <mergeCell ref="G8:G9"/>
    <mergeCell ref="H8:H9"/>
    <mergeCell ref="I8:I9"/>
    <mergeCell ref="J8:J9"/>
    <mergeCell ref="K8:K9"/>
    <mergeCell ref="L8:L9"/>
  </mergeCells>
  <hyperlinks>
    <hyperlink ref="A1" location="'Перечень форм для заполнения'!A1" display="Вернуться к перечню форм"/>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0000"/>
  </sheetPr>
  <dimension ref="A1:T31"/>
  <sheetViews>
    <sheetView topLeftCell="E6" workbookViewId="0">
      <selection activeCell="M30" sqref="M30"/>
    </sheetView>
  </sheetViews>
  <sheetFormatPr defaultColWidth="9.140625" defaultRowHeight="11.25" outlineLevelCol="1"/>
  <cols>
    <col min="1" max="4" width="0" style="1239" hidden="1" customWidth="1"/>
    <col min="5" max="5" width="1.28515625" style="1239" customWidth="1"/>
    <col min="6" max="6" width="9.140625" style="1239"/>
    <col min="7" max="7" width="27.5703125" style="1239" customWidth="1"/>
    <col min="8" max="11" width="18.85546875" style="1239" customWidth="1"/>
    <col min="12" max="12" width="18.85546875" style="1239" hidden="1" customWidth="1" outlineLevel="1"/>
    <col min="13" max="13" width="18.85546875" style="1239" customWidth="1" collapsed="1"/>
    <col min="14" max="19" width="18.85546875" style="1239" customWidth="1"/>
    <col min="20" max="16384" width="9.140625" style="1239"/>
  </cols>
  <sheetData>
    <row r="1" spans="1:20" hidden="1">
      <c r="A1" s="1237" t="s">
        <v>210</v>
      </c>
      <c r="B1" s="1237"/>
      <c r="C1" s="1237"/>
      <c r="D1" s="1237"/>
      <c r="E1" s="1237"/>
      <c r="F1" s="1237"/>
      <c r="G1" s="1238"/>
      <c r="H1" s="1238"/>
      <c r="I1" s="1238"/>
      <c r="J1" s="1238"/>
      <c r="K1" s="1238"/>
      <c r="L1" s="17" t="s">
        <v>217</v>
      </c>
      <c r="M1" s="1238"/>
      <c r="N1" s="1238"/>
      <c r="O1" s="1238"/>
      <c r="P1" s="1238"/>
      <c r="Q1" s="1238"/>
      <c r="R1" s="1238"/>
      <c r="S1" s="1238"/>
      <c r="T1" s="1238"/>
    </row>
    <row r="2" spans="1:20" hidden="1">
      <c r="A2" s="1238"/>
      <c r="B2" s="1238"/>
      <c r="C2" s="1238"/>
      <c r="D2" s="1238"/>
      <c r="E2" s="1238"/>
      <c r="F2" s="1238"/>
      <c r="G2" s="1238"/>
      <c r="H2" s="1238"/>
      <c r="I2" s="1238"/>
      <c r="J2" s="1238"/>
      <c r="K2" s="1238"/>
      <c r="L2" s="1238"/>
      <c r="M2" s="1238"/>
      <c r="N2" s="1238"/>
      <c r="O2" s="1238"/>
      <c r="P2" s="1238"/>
      <c r="Q2" s="1238"/>
      <c r="R2" s="1238"/>
      <c r="S2" s="1238"/>
      <c r="T2" s="1238"/>
    </row>
    <row r="3" spans="1:20" hidden="1">
      <c r="A3" s="1238"/>
      <c r="B3" s="1238"/>
      <c r="C3" s="1238"/>
      <c r="D3" s="1238"/>
      <c r="E3" s="1238"/>
      <c r="F3" s="1238"/>
      <c r="G3" s="1238"/>
      <c r="H3" s="1238"/>
      <c r="I3" s="1238"/>
      <c r="J3" s="1238"/>
      <c r="K3" s="1238"/>
      <c r="L3" s="1238"/>
      <c r="M3" s="1238"/>
      <c r="N3" s="1238"/>
      <c r="O3" s="1238"/>
      <c r="P3" s="1238"/>
      <c r="Q3" s="1238"/>
      <c r="R3" s="1238"/>
      <c r="S3" s="1238"/>
      <c r="T3" s="1238"/>
    </row>
    <row r="4" spans="1:20" hidden="1">
      <c r="A4" s="1238"/>
      <c r="B4" s="1238"/>
      <c r="C4" s="1238"/>
      <c r="D4" s="1238"/>
      <c r="E4" s="1238"/>
      <c r="F4" s="1238"/>
      <c r="G4" s="1238"/>
      <c r="H4" s="1238"/>
      <c r="I4" s="1238"/>
      <c r="J4" s="1238"/>
      <c r="K4" s="1238"/>
      <c r="L4" s="1238"/>
      <c r="M4" s="1238"/>
      <c r="N4" s="1238"/>
      <c r="O4" s="1238"/>
      <c r="P4" s="1238"/>
      <c r="Q4" s="1238"/>
      <c r="R4" s="1238"/>
      <c r="S4" s="1238"/>
      <c r="T4" s="1238"/>
    </row>
    <row r="5" spans="1:20" hidden="1">
      <c r="A5" s="1238"/>
      <c r="B5" s="1238"/>
      <c r="C5" s="1238"/>
      <c r="D5" s="1238"/>
      <c r="E5" s="1238"/>
      <c r="F5" s="1238"/>
      <c r="G5" s="1238"/>
      <c r="H5" s="1238"/>
      <c r="I5" s="1238"/>
      <c r="J5" s="1238"/>
      <c r="K5" s="1238"/>
      <c r="L5" s="1238"/>
      <c r="M5" s="1238"/>
      <c r="N5" s="1238"/>
      <c r="O5" s="1238"/>
      <c r="P5" s="1238"/>
      <c r="Q5" s="1238"/>
      <c r="R5" s="1238"/>
      <c r="S5" s="1238"/>
      <c r="T5" s="1238"/>
    </row>
    <row r="6" spans="1:20">
      <c r="A6" s="1238"/>
      <c r="B6" s="1238"/>
      <c r="C6" s="1238"/>
      <c r="D6" s="1238"/>
      <c r="E6" s="1238"/>
      <c r="F6" s="1238"/>
      <c r="G6" s="1238"/>
      <c r="H6" s="1238"/>
      <c r="I6" s="1238"/>
      <c r="J6" s="1238"/>
      <c r="K6" s="1238"/>
      <c r="L6" s="1238"/>
      <c r="M6" s="1238"/>
      <c r="N6" s="1238"/>
      <c r="O6" s="1238"/>
      <c r="P6" s="1238"/>
      <c r="Q6" s="1238"/>
      <c r="R6" s="1238"/>
      <c r="S6" s="1238"/>
      <c r="T6" s="1238"/>
    </row>
    <row r="7" spans="1:20">
      <c r="A7" s="1238"/>
      <c r="B7" s="1238"/>
      <c r="C7" s="1238"/>
      <c r="D7" s="1238"/>
      <c r="E7" s="1238"/>
      <c r="F7" s="1238"/>
      <c r="G7" s="1238"/>
      <c r="H7" s="1238"/>
      <c r="I7" s="1238"/>
      <c r="J7" s="1238"/>
      <c r="K7" s="1238"/>
      <c r="L7" s="1238"/>
      <c r="M7" s="1238"/>
      <c r="N7" s="1238"/>
      <c r="O7" s="1238"/>
      <c r="P7" s="1238"/>
      <c r="Q7" s="1238"/>
      <c r="R7" s="1238"/>
      <c r="S7" s="1238"/>
      <c r="T7" s="1238"/>
    </row>
    <row r="8" spans="1:20">
      <c r="A8" s="1238"/>
      <c r="B8" s="1238"/>
      <c r="C8" s="1238"/>
      <c r="D8" s="1238"/>
      <c r="E8" s="1238"/>
      <c r="F8" s="1238"/>
      <c r="G8" s="1238"/>
      <c r="H8" s="1238"/>
      <c r="I8" s="1238"/>
      <c r="J8" s="1238"/>
      <c r="K8" s="1238"/>
      <c r="L8" s="1238"/>
      <c r="M8" s="1238"/>
      <c r="N8" s="1238"/>
      <c r="O8" s="1238"/>
      <c r="P8" s="1238"/>
      <c r="Q8" s="1238"/>
      <c r="R8" s="1238"/>
      <c r="S8" s="1238"/>
      <c r="T8" s="1238"/>
    </row>
    <row r="9" spans="1:20">
      <c r="A9" s="1238"/>
      <c r="B9" s="1238"/>
      <c r="C9" s="1238"/>
      <c r="D9" s="1238"/>
      <c r="E9" s="1238"/>
      <c r="F9" s="2498" t="s">
        <v>11</v>
      </c>
      <c r="G9" s="2498"/>
      <c r="H9" s="1238"/>
      <c r="I9" s="1238"/>
      <c r="J9" s="1238"/>
      <c r="K9" s="1238"/>
      <c r="L9" s="1238"/>
      <c r="M9" s="1238"/>
      <c r="N9" s="1238"/>
      <c r="O9" s="1238"/>
      <c r="P9" s="1238"/>
      <c r="Q9" s="1238"/>
      <c r="R9" s="1238"/>
      <c r="S9" s="1238"/>
      <c r="T9" s="1238"/>
    </row>
    <row r="10" spans="1:20" s="1243" customFormat="1">
      <c r="A10" s="1240"/>
      <c r="B10" s="1240"/>
      <c r="C10" s="1240"/>
      <c r="D10" s="1240"/>
      <c r="E10" s="1240"/>
      <c r="F10" s="2499" t="s">
        <v>2158</v>
      </c>
      <c r="G10" s="2499"/>
      <c r="H10" s="2499"/>
      <c r="I10" s="2499"/>
      <c r="J10" s="2499"/>
      <c r="K10" s="2499"/>
      <c r="L10" s="1241"/>
      <c r="M10" s="1242"/>
      <c r="N10" s="1242"/>
      <c r="O10" s="1242"/>
      <c r="P10" s="1242"/>
      <c r="Q10" s="1242"/>
      <c r="R10" s="1242"/>
      <c r="S10" s="1242"/>
      <c r="T10" s="1240"/>
    </row>
    <row r="11" spans="1:20">
      <c r="A11" s="1238"/>
      <c r="B11" s="1238"/>
      <c r="C11" s="1238"/>
      <c r="D11" s="1238"/>
      <c r="E11" s="1238"/>
      <c r="F11" s="2500"/>
      <c r="G11" s="2500"/>
      <c r="H11" s="2500"/>
      <c r="I11" s="2500"/>
      <c r="J11" s="2500"/>
      <c r="K11" s="2500"/>
      <c r="L11" s="2500"/>
      <c r="M11" s="2500"/>
      <c r="N11" s="2500"/>
      <c r="O11" s="2500"/>
      <c r="P11" s="2500"/>
      <c r="Q11" s="2500"/>
      <c r="R11" s="2500"/>
      <c r="S11" s="2500"/>
      <c r="T11" s="1238"/>
    </row>
    <row r="12" spans="1:20">
      <c r="A12" s="1238"/>
      <c r="B12" s="1238"/>
      <c r="C12" s="1238"/>
      <c r="D12" s="1238"/>
      <c r="E12" s="1238"/>
      <c r="F12" s="1238"/>
      <c r="G12" s="1244"/>
      <c r="H12" s="1244"/>
      <c r="I12" s="1244"/>
      <c r="J12" s="1244"/>
      <c r="K12" s="1244"/>
      <c r="L12" s="1244"/>
      <c r="M12" s="1244"/>
      <c r="N12" s="1244"/>
      <c r="O12" s="1244"/>
      <c r="P12" s="1244"/>
      <c r="Q12" s="1244"/>
      <c r="R12" s="1238"/>
      <c r="S12" s="1245" t="s">
        <v>1105</v>
      </c>
      <c r="T12" s="1238"/>
    </row>
    <row r="13" spans="1:20" ht="38.25">
      <c r="A13" s="1238"/>
      <c r="B13" s="1238"/>
      <c r="C13" s="1238"/>
      <c r="D13" s="1238"/>
      <c r="E13" s="1238"/>
      <c r="F13" s="1246" t="s">
        <v>12</v>
      </c>
      <c r="G13" s="1246" t="s">
        <v>1106</v>
      </c>
      <c r="H13" s="1246" t="s">
        <v>1107</v>
      </c>
      <c r="I13" s="1246" t="s">
        <v>1108</v>
      </c>
      <c r="J13" s="1246" t="s">
        <v>1109</v>
      </c>
      <c r="K13" s="1246" t="s">
        <v>1110</v>
      </c>
      <c r="L13" s="1247" t="s">
        <v>1111</v>
      </c>
      <c r="M13" s="1246" t="s">
        <v>1112</v>
      </c>
      <c r="N13" s="1246" t="s">
        <v>1113</v>
      </c>
      <c r="O13" s="1246" t="s">
        <v>1114</v>
      </c>
      <c r="P13" s="1246" t="s">
        <v>1115</v>
      </c>
      <c r="Q13" s="1246" t="s">
        <v>1116</v>
      </c>
      <c r="R13" s="1246" t="s">
        <v>1117</v>
      </c>
      <c r="S13" s="1246" t="s">
        <v>1118</v>
      </c>
      <c r="T13" s="1238"/>
    </row>
    <row r="14" spans="1:20">
      <c r="A14" s="1238"/>
      <c r="B14" s="1238"/>
      <c r="C14" s="1238"/>
      <c r="D14" s="1238"/>
      <c r="E14" s="1238"/>
      <c r="F14" s="1248"/>
      <c r="G14" s="1248"/>
      <c r="H14" s="1248"/>
      <c r="I14" s="1248"/>
      <c r="J14" s="1248"/>
      <c r="K14" s="1248"/>
      <c r="L14" s="1248"/>
      <c r="M14" s="1248"/>
      <c r="N14" s="1248"/>
      <c r="O14" s="1248"/>
      <c r="P14" s="1248"/>
      <c r="Q14" s="1248"/>
      <c r="R14" s="1248"/>
      <c r="S14" s="1248"/>
      <c r="T14" s="1238"/>
    </row>
    <row r="15" spans="1:20">
      <c r="A15" s="1238"/>
      <c r="B15" s="1238"/>
      <c r="C15" s="1238"/>
      <c r="D15" s="1238"/>
      <c r="E15" s="1238"/>
      <c r="F15" s="1248"/>
      <c r="G15" s="1248"/>
      <c r="H15" s="1248"/>
      <c r="I15" s="1248"/>
      <c r="J15" s="1248"/>
      <c r="K15" s="1248"/>
      <c r="L15" s="1248"/>
      <c r="M15" s="1248"/>
      <c r="N15" s="1248"/>
      <c r="O15" s="1248"/>
      <c r="P15" s="1248"/>
      <c r="Q15" s="1248"/>
      <c r="R15" s="1248"/>
      <c r="S15" s="1248"/>
      <c r="T15" s="1238"/>
    </row>
    <row r="16" spans="1:20">
      <c r="A16" s="1238"/>
      <c r="B16" s="1238"/>
      <c r="C16" s="1238"/>
      <c r="D16" s="1238"/>
      <c r="E16" s="1238"/>
      <c r="F16" s="1248"/>
      <c r="G16" s="1248"/>
      <c r="H16" s="1249"/>
      <c r="I16" s="1249"/>
      <c r="J16" s="1249"/>
      <c r="K16" s="1249"/>
      <c r="L16" s="1249"/>
      <c r="M16" s="1249"/>
      <c r="N16" s="1249"/>
      <c r="O16" s="1249"/>
      <c r="P16" s="1249"/>
      <c r="Q16" s="1249"/>
      <c r="R16" s="1249"/>
      <c r="S16" s="1249"/>
      <c r="T16" s="1238"/>
    </row>
    <row r="17" spans="1:20" ht="12.75">
      <c r="A17" s="1238"/>
      <c r="B17" s="1238"/>
      <c r="C17" s="1238"/>
      <c r="D17" s="1238"/>
      <c r="E17" s="1238"/>
      <c r="F17" s="1250" t="s">
        <v>111</v>
      </c>
      <c r="G17" s="1251" t="s">
        <v>1119</v>
      </c>
      <c r="H17" s="1252">
        <f>SUM(H18,H22)</f>
        <v>0</v>
      </c>
      <c r="I17" s="1252">
        <f>SUM(I18,I22)</f>
        <v>0</v>
      </c>
      <c r="J17" s="1252">
        <f>SUM(J18,J22)</f>
        <v>0</v>
      </c>
      <c r="K17" s="1252">
        <f>SUM(K18,K22)</f>
        <v>0</v>
      </c>
      <c r="L17" s="1252">
        <f>SUM(L18,L22)</f>
        <v>0</v>
      </c>
      <c r="M17" s="1252">
        <f t="shared" ref="M17:M26" si="0">K17-I17</f>
        <v>0</v>
      </c>
      <c r="N17" s="1252">
        <f t="shared" ref="N17:N26" si="1">IFERROR(K17/I17*100,0)</f>
        <v>0</v>
      </c>
      <c r="O17" s="1252">
        <f>SUM(O18,O22)</f>
        <v>0</v>
      </c>
      <c r="P17" s="1252">
        <f>IFERROR(M17/K17*100,0)</f>
        <v>0</v>
      </c>
      <c r="Q17" s="1252">
        <f>SUM(Q18,Q22)</f>
        <v>0</v>
      </c>
      <c r="R17" s="1252">
        <f>SUM(R18,R22)</f>
        <v>0</v>
      </c>
      <c r="S17" s="1252">
        <f>SUM(S18,S22)</f>
        <v>0</v>
      </c>
      <c r="T17" s="1238"/>
    </row>
    <row r="18" spans="1:20" ht="12.75">
      <c r="A18" s="1238"/>
      <c r="B18" s="1238"/>
      <c r="C18" s="1238"/>
      <c r="D18" s="1238"/>
      <c r="E18" s="1238"/>
      <c r="F18" s="1250" t="s">
        <v>316</v>
      </c>
      <c r="G18" s="1253" t="s">
        <v>1120</v>
      </c>
      <c r="H18" s="1252">
        <f>SUM(H19:H21)</f>
        <v>0</v>
      </c>
      <c r="I18" s="1252">
        <f>SUM(I19:I21)</f>
        <v>0</v>
      </c>
      <c r="J18" s="1252">
        <f>SUM(J19:J21)</f>
        <v>0</v>
      </c>
      <c r="K18" s="1252">
        <f>SUM(K19:K21)</f>
        <v>0</v>
      </c>
      <c r="L18" s="1252">
        <f>SUM(L19:L21)</f>
        <v>0</v>
      </c>
      <c r="M18" s="1252">
        <f t="shared" si="0"/>
        <v>0</v>
      </c>
      <c r="N18" s="1252">
        <f t="shared" si="1"/>
        <v>0</v>
      </c>
      <c r="O18" s="1252">
        <f>SUM(O19:O21)</f>
        <v>0</v>
      </c>
      <c r="P18" s="1252">
        <f>IFERROR(M18/K18*100,0)</f>
        <v>0</v>
      </c>
      <c r="Q18" s="1252">
        <f>SUM(Q19:Q21)</f>
        <v>0</v>
      </c>
      <c r="R18" s="1252">
        <f>SUM(R19:R21)</f>
        <v>0</v>
      </c>
      <c r="S18" s="1252">
        <f>SUM(S19:S21)</f>
        <v>0</v>
      </c>
      <c r="T18" s="1238"/>
    </row>
    <row r="19" spans="1:20" ht="12.75">
      <c r="A19" s="1238"/>
      <c r="B19" s="1238"/>
      <c r="C19" s="1238"/>
      <c r="D19" s="1238"/>
      <c r="E19" s="1238"/>
      <c r="F19" s="1250" t="s">
        <v>319</v>
      </c>
      <c r="G19" s="1254" t="s">
        <v>709</v>
      </c>
      <c r="H19" s="170"/>
      <c r="I19" s="170"/>
      <c r="J19" s="170"/>
      <c r="K19" s="170"/>
      <c r="L19" s="170"/>
      <c r="M19" s="74">
        <f t="shared" si="0"/>
        <v>0</v>
      </c>
      <c r="N19" s="74">
        <f t="shared" si="1"/>
        <v>0</v>
      </c>
      <c r="O19" s="74">
        <f t="shared" ref="O19:O26" si="2">J19-Q19</f>
        <v>0</v>
      </c>
      <c r="P19" s="74">
        <f t="shared" ref="P19:P26" si="3">IFERROR(I19/K19*100,0)</f>
        <v>0</v>
      </c>
      <c r="Q19" s="170"/>
      <c r="R19" s="170"/>
      <c r="S19" s="74">
        <f t="shared" ref="S19:S26" si="4">J19-K19</f>
        <v>0</v>
      </c>
      <c r="T19" s="1238"/>
    </row>
    <row r="20" spans="1:20" ht="12.75">
      <c r="A20" s="1238"/>
      <c r="B20" s="1238"/>
      <c r="C20" s="1238"/>
      <c r="D20" s="1238"/>
      <c r="E20" s="1238"/>
      <c r="F20" s="1250" t="s">
        <v>321</v>
      </c>
      <c r="G20" s="1254" t="s">
        <v>1121</v>
      </c>
      <c r="H20" s="170"/>
      <c r="I20" s="170"/>
      <c r="J20" s="170"/>
      <c r="K20" s="170"/>
      <c r="L20" s="170"/>
      <c r="M20" s="74">
        <f t="shared" si="0"/>
        <v>0</v>
      </c>
      <c r="N20" s="74">
        <f t="shared" si="1"/>
        <v>0</v>
      </c>
      <c r="O20" s="74">
        <f t="shared" si="2"/>
        <v>0</v>
      </c>
      <c r="P20" s="74">
        <f t="shared" si="3"/>
        <v>0</v>
      </c>
      <c r="Q20" s="170"/>
      <c r="R20" s="170"/>
      <c r="S20" s="74">
        <f t="shared" si="4"/>
        <v>0</v>
      </c>
      <c r="T20" s="1238"/>
    </row>
    <row r="21" spans="1:20" ht="12.75">
      <c r="A21" s="1238"/>
      <c r="B21" s="1238"/>
      <c r="C21" s="1238"/>
      <c r="D21" s="1238"/>
      <c r="E21" s="1238"/>
      <c r="F21" s="1250" t="s">
        <v>1122</v>
      </c>
      <c r="G21" s="1254" t="s">
        <v>1123</v>
      </c>
      <c r="H21" s="170"/>
      <c r="I21" s="170"/>
      <c r="J21" s="170"/>
      <c r="K21" s="170"/>
      <c r="L21" s="170"/>
      <c r="M21" s="74">
        <f t="shared" si="0"/>
        <v>0</v>
      </c>
      <c r="N21" s="74">
        <f t="shared" si="1"/>
        <v>0</v>
      </c>
      <c r="O21" s="74">
        <f t="shared" si="2"/>
        <v>0</v>
      </c>
      <c r="P21" s="74">
        <f t="shared" si="3"/>
        <v>0</v>
      </c>
      <c r="Q21" s="170"/>
      <c r="R21" s="170"/>
      <c r="S21" s="74">
        <f t="shared" si="4"/>
        <v>0</v>
      </c>
      <c r="T21" s="1238"/>
    </row>
    <row r="22" spans="1:20" ht="12.75">
      <c r="A22" s="1238"/>
      <c r="B22" s="1238"/>
      <c r="C22" s="1238"/>
      <c r="D22" s="1238"/>
      <c r="E22" s="1238"/>
      <c r="F22" s="1250" t="s">
        <v>323</v>
      </c>
      <c r="G22" s="1253" t="s">
        <v>1124</v>
      </c>
      <c r="H22" s="1252">
        <f>SUM(H23:H26)</f>
        <v>0</v>
      </c>
      <c r="I22" s="1252">
        <f>SUM(I23:I26)</f>
        <v>0</v>
      </c>
      <c r="J22" s="1252">
        <f>SUM(J23:J26)</f>
        <v>0</v>
      </c>
      <c r="K22" s="1252">
        <f>SUM(K23:K26)</f>
        <v>0</v>
      </c>
      <c r="L22" s="1252">
        <f>SUM(L23:L26)</f>
        <v>0</v>
      </c>
      <c r="M22" s="1252">
        <f t="shared" si="0"/>
        <v>0</v>
      </c>
      <c r="N22" s="1252">
        <f t="shared" si="1"/>
        <v>0</v>
      </c>
      <c r="O22" s="1252">
        <f t="shared" si="2"/>
        <v>0</v>
      </c>
      <c r="P22" s="1252">
        <f t="shared" si="3"/>
        <v>0</v>
      </c>
      <c r="Q22" s="1252">
        <f>SUM(Q23:Q26)</f>
        <v>0</v>
      </c>
      <c r="R22" s="1252">
        <f>SUM(R23:R26)</f>
        <v>0</v>
      </c>
      <c r="S22" s="1252">
        <f t="shared" si="4"/>
        <v>0</v>
      </c>
      <c r="T22" s="1238"/>
    </row>
    <row r="23" spans="1:20" ht="22.5">
      <c r="A23" s="1238"/>
      <c r="B23" s="1238"/>
      <c r="C23" s="1238"/>
      <c r="D23" s="1238"/>
      <c r="E23" s="1238"/>
      <c r="F23" s="1250" t="s">
        <v>666</v>
      </c>
      <c r="G23" s="1254" t="s">
        <v>1125</v>
      </c>
      <c r="H23" s="170"/>
      <c r="I23" s="170"/>
      <c r="J23" s="170"/>
      <c r="K23" s="170"/>
      <c r="L23" s="170"/>
      <c r="M23" s="74">
        <f t="shared" si="0"/>
        <v>0</v>
      </c>
      <c r="N23" s="74">
        <f t="shared" si="1"/>
        <v>0</v>
      </c>
      <c r="O23" s="74">
        <f t="shared" si="2"/>
        <v>0</v>
      </c>
      <c r="P23" s="74">
        <f t="shared" si="3"/>
        <v>0</v>
      </c>
      <c r="Q23" s="170"/>
      <c r="R23" s="170"/>
      <c r="S23" s="74">
        <f t="shared" si="4"/>
        <v>0</v>
      </c>
      <c r="T23" s="1238"/>
    </row>
    <row r="24" spans="1:20" ht="22.5">
      <c r="A24" s="1238"/>
      <c r="B24" s="1238"/>
      <c r="C24" s="1238"/>
      <c r="D24" s="1238"/>
      <c r="E24" s="1238"/>
      <c r="F24" s="1250" t="s">
        <v>1126</v>
      </c>
      <c r="G24" s="1254" t="s">
        <v>1127</v>
      </c>
      <c r="H24" s="170"/>
      <c r="I24" s="170"/>
      <c r="J24" s="170"/>
      <c r="K24" s="170"/>
      <c r="L24" s="170"/>
      <c r="M24" s="74">
        <f t="shared" si="0"/>
        <v>0</v>
      </c>
      <c r="N24" s="74">
        <f t="shared" si="1"/>
        <v>0</v>
      </c>
      <c r="O24" s="74">
        <f t="shared" si="2"/>
        <v>0</v>
      </c>
      <c r="P24" s="74">
        <f t="shared" si="3"/>
        <v>0</v>
      </c>
      <c r="Q24" s="170"/>
      <c r="R24" s="170"/>
      <c r="S24" s="74">
        <f t="shared" si="4"/>
        <v>0</v>
      </c>
      <c r="T24" s="1238"/>
    </row>
    <row r="25" spans="1:20" ht="12.75">
      <c r="A25" s="1238"/>
      <c r="B25" s="1238"/>
      <c r="C25" s="1238"/>
      <c r="D25" s="1238"/>
      <c r="E25" s="1238"/>
      <c r="F25" s="1250" t="s">
        <v>1128</v>
      </c>
      <c r="G25" s="1254" t="s">
        <v>1129</v>
      </c>
      <c r="H25" s="170"/>
      <c r="I25" s="170"/>
      <c r="J25" s="170"/>
      <c r="K25" s="170"/>
      <c r="L25" s="170"/>
      <c r="M25" s="74">
        <f t="shared" si="0"/>
        <v>0</v>
      </c>
      <c r="N25" s="74">
        <f t="shared" si="1"/>
        <v>0</v>
      </c>
      <c r="O25" s="74">
        <f t="shared" si="2"/>
        <v>0</v>
      </c>
      <c r="P25" s="74">
        <f t="shared" si="3"/>
        <v>0</v>
      </c>
      <c r="Q25" s="170"/>
      <c r="R25" s="170"/>
      <c r="S25" s="74">
        <f t="shared" si="4"/>
        <v>0</v>
      </c>
      <c r="T25" s="1238"/>
    </row>
    <row r="26" spans="1:20" ht="12.75">
      <c r="A26" s="1238"/>
      <c r="B26" s="1238"/>
      <c r="C26" s="1238"/>
      <c r="D26" s="1238"/>
      <c r="E26" s="1238"/>
      <c r="F26" s="1250" t="s">
        <v>1130</v>
      </c>
      <c r="G26" s="1254" t="s">
        <v>1131</v>
      </c>
      <c r="H26" s="170"/>
      <c r="I26" s="170"/>
      <c r="J26" s="170"/>
      <c r="K26" s="170"/>
      <c r="L26" s="170"/>
      <c r="M26" s="74">
        <f t="shared" si="0"/>
        <v>0</v>
      </c>
      <c r="N26" s="74">
        <f t="shared" si="1"/>
        <v>0</v>
      </c>
      <c r="O26" s="74">
        <f t="shared" si="2"/>
        <v>0</v>
      </c>
      <c r="P26" s="74">
        <f t="shared" si="3"/>
        <v>0</v>
      </c>
      <c r="Q26" s="170"/>
      <c r="R26" s="170"/>
      <c r="S26" s="74">
        <f t="shared" si="4"/>
        <v>0</v>
      </c>
      <c r="T26" s="1238"/>
    </row>
    <row r="27" spans="1:20">
      <c r="A27" s="1238"/>
      <c r="B27" s="1238"/>
      <c r="C27" s="1238"/>
      <c r="D27" s="1238"/>
      <c r="E27" s="1238"/>
      <c r="F27" s="1238"/>
      <c r="G27" s="1238"/>
      <c r="H27" s="1238"/>
      <c r="I27" s="1238"/>
      <c r="J27" s="1238"/>
      <c r="K27" s="1238"/>
      <c r="L27" s="1238"/>
      <c r="M27" s="1238"/>
      <c r="N27" s="1238"/>
      <c r="O27" s="1238"/>
      <c r="P27" s="1238"/>
      <c r="Q27" s="1238"/>
      <c r="R27" s="1238"/>
      <c r="S27" s="1238"/>
      <c r="T27" s="1238"/>
    </row>
    <row r="28" spans="1:20">
      <c r="A28" s="1238"/>
      <c r="B28" s="1238"/>
      <c r="C28" s="1238"/>
      <c r="D28" s="1238"/>
      <c r="E28" s="1238"/>
      <c r="F28" s="1238"/>
      <c r="G28" s="1238"/>
      <c r="H28" s="1238"/>
      <c r="I28" s="1238"/>
      <c r="J28" s="1238"/>
      <c r="K28" s="1238"/>
      <c r="L28" s="1238"/>
      <c r="M28" s="1238"/>
      <c r="N28" s="1238"/>
      <c r="O28" s="1238"/>
      <c r="P28" s="1238"/>
      <c r="Q28" s="1238"/>
      <c r="R28" s="1238"/>
      <c r="S28" s="1238"/>
      <c r="T28" s="1238"/>
    </row>
    <row r="29" spans="1:20">
      <c r="A29" s="1238"/>
      <c r="B29" s="1238"/>
      <c r="C29" s="1238"/>
      <c r="D29" s="1238"/>
      <c r="E29" s="1238"/>
      <c r="F29" s="1238"/>
      <c r="G29" s="1238"/>
      <c r="H29" s="1238"/>
      <c r="I29" s="1238"/>
      <c r="J29" s="1238"/>
      <c r="K29" s="1238"/>
      <c r="L29" s="1238"/>
      <c r="M29" s="1238"/>
      <c r="N29" s="1238"/>
      <c r="O29" s="1238"/>
      <c r="P29" s="1238"/>
      <c r="Q29" s="1238"/>
      <c r="R29" s="1238"/>
      <c r="S29" s="1238"/>
      <c r="T29" s="1238"/>
    </row>
    <row r="30" spans="1:20">
      <c r="T30" s="1238"/>
    </row>
    <row r="31" spans="1:20">
      <c r="T31" s="1238"/>
    </row>
  </sheetData>
  <mergeCells count="3">
    <mergeCell ref="F9:G9"/>
    <mergeCell ref="F10:K10"/>
    <mergeCell ref="F11:S11"/>
  </mergeCells>
  <dataValidations count="1">
    <dataValidation type="decimal" allowBlank="1" showErrorMessage="1" errorTitle="Ошибка" error="Допускается ввод только действительных чисел!" sqref="Q23:R26 H23:L26 Q19:R21 H19:L21">
      <formula1>-9.99999999999999E+23</formula1>
      <formula2>9.99999999999999E+23</formula2>
    </dataValidation>
  </dataValidations>
  <hyperlinks>
    <hyperlink ref="A1" location="'Перечень форм для заполнения'!A1" display="Вернуться к перечню форм"/>
    <hyperlink ref="F9" location="'Список листов'!A1" tooltip="Список листов" display="Список листов"/>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0000"/>
  </sheetPr>
  <dimension ref="A1:T52"/>
  <sheetViews>
    <sheetView topLeftCell="C10" workbookViewId="0">
      <selection activeCell="J5" sqref="J5"/>
    </sheetView>
  </sheetViews>
  <sheetFormatPr defaultRowHeight="11.25"/>
  <cols>
    <col min="1" max="2" width="0" style="287" hidden="1" customWidth="1"/>
    <col min="3" max="3" width="2.85546875" style="287" customWidth="1"/>
    <col min="4" max="4" width="8" style="287" customWidth="1"/>
    <col min="5" max="5" width="43.5703125" style="287" customWidth="1"/>
    <col min="6" max="6" width="12" style="287" customWidth="1"/>
    <col min="7" max="17" width="12.7109375" style="288" customWidth="1"/>
    <col min="18" max="18" width="9.140625" style="287"/>
    <col min="19" max="19" width="16.28515625" style="287" customWidth="1"/>
    <col min="20" max="256" width="9.140625" style="287"/>
    <col min="257" max="258" width="0" style="287" hidden="1" customWidth="1"/>
    <col min="259" max="259" width="2.85546875" style="287" customWidth="1"/>
    <col min="260" max="260" width="8" style="287" customWidth="1"/>
    <col min="261" max="261" width="43.5703125" style="287" customWidth="1"/>
    <col min="262" max="262" width="12" style="287" customWidth="1"/>
    <col min="263" max="273" width="12.7109375" style="287" customWidth="1"/>
    <col min="274" max="274" width="9.140625" style="287"/>
    <col min="275" max="275" width="16.28515625" style="287" customWidth="1"/>
    <col min="276" max="512" width="9.140625" style="287"/>
    <col min="513" max="514" width="0" style="287" hidden="1" customWidth="1"/>
    <col min="515" max="515" width="2.85546875" style="287" customWidth="1"/>
    <col min="516" max="516" width="8" style="287" customWidth="1"/>
    <col min="517" max="517" width="43.5703125" style="287" customWidth="1"/>
    <col min="518" max="518" width="12" style="287" customWidth="1"/>
    <col min="519" max="529" width="12.7109375" style="287" customWidth="1"/>
    <col min="530" max="530" width="9.140625" style="287"/>
    <col min="531" max="531" width="16.28515625" style="287" customWidth="1"/>
    <col min="532" max="768" width="9.140625" style="287"/>
    <col min="769" max="770" width="0" style="287" hidden="1" customWidth="1"/>
    <col min="771" max="771" width="2.85546875" style="287" customWidth="1"/>
    <col min="772" max="772" width="8" style="287" customWidth="1"/>
    <col min="773" max="773" width="43.5703125" style="287" customWidth="1"/>
    <col min="774" max="774" width="12" style="287" customWidth="1"/>
    <col min="775" max="785" width="12.7109375" style="287" customWidth="1"/>
    <col min="786" max="786" width="9.140625" style="287"/>
    <col min="787" max="787" width="16.28515625" style="287" customWidth="1"/>
    <col min="788" max="1024" width="9.140625" style="287"/>
    <col min="1025" max="1026" width="0" style="287" hidden="1" customWidth="1"/>
    <col min="1027" max="1027" width="2.85546875" style="287" customWidth="1"/>
    <col min="1028" max="1028" width="8" style="287" customWidth="1"/>
    <col min="1029" max="1029" width="43.5703125" style="287" customWidth="1"/>
    <col min="1030" max="1030" width="12" style="287" customWidth="1"/>
    <col min="1031" max="1041" width="12.7109375" style="287" customWidth="1"/>
    <col min="1042" max="1042" width="9.140625" style="287"/>
    <col min="1043" max="1043" width="16.28515625" style="287" customWidth="1"/>
    <col min="1044" max="1280" width="9.140625" style="287"/>
    <col min="1281" max="1282" width="0" style="287" hidden="1" customWidth="1"/>
    <col min="1283" max="1283" width="2.85546875" style="287" customWidth="1"/>
    <col min="1284" max="1284" width="8" style="287" customWidth="1"/>
    <col min="1285" max="1285" width="43.5703125" style="287" customWidth="1"/>
    <col min="1286" max="1286" width="12" style="287" customWidth="1"/>
    <col min="1287" max="1297" width="12.7109375" style="287" customWidth="1"/>
    <col min="1298" max="1298" width="9.140625" style="287"/>
    <col min="1299" max="1299" width="16.28515625" style="287" customWidth="1"/>
    <col min="1300" max="1536" width="9.140625" style="287"/>
    <col min="1537" max="1538" width="0" style="287" hidden="1" customWidth="1"/>
    <col min="1539" max="1539" width="2.85546875" style="287" customWidth="1"/>
    <col min="1540" max="1540" width="8" style="287" customWidth="1"/>
    <col min="1541" max="1541" width="43.5703125" style="287" customWidth="1"/>
    <col min="1542" max="1542" width="12" style="287" customWidth="1"/>
    <col min="1543" max="1553" width="12.7109375" style="287" customWidth="1"/>
    <col min="1554" max="1554" width="9.140625" style="287"/>
    <col min="1555" max="1555" width="16.28515625" style="287" customWidth="1"/>
    <col min="1556" max="1792" width="9.140625" style="287"/>
    <col min="1793" max="1794" width="0" style="287" hidden="1" customWidth="1"/>
    <col min="1795" max="1795" width="2.85546875" style="287" customWidth="1"/>
    <col min="1796" max="1796" width="8" style="287" customWidth="1"/>
    <col min="1797" max="1797" width="43.5703125" style="287" customWidth="1"/>
    <col min="1798" max="1798" width="12" style="287" customWidth="1"/>
    <col min="1799" max="1809" width="12.7109375" style="287" customWidth="1"/>
    <col min="1810" max="1810" width="9.140625" style="287"/>
    <col min="1811" max="1811" width="16.28515625" style="287" customWidth="1"/>
    <col min="1812" max="2048" width="9.140625" style="287"/>
    <col min="2049" max="2050" width="0" style="287" hidden="1" customWidth="1"/>
    <col min="2051" max="2051" width="2.85546875" style="287" customWidth="1"/>
    <col min="2052" max="2052" width="8" style="287" customWidth="1"/>
    <col min="2053" max="2053" width="43.5703125" style="287" customWidth="1"/>
    <col min="2054" max="2054" width="12" style="287" customWidth="1"/>
    <col min="2055" max="2065" width="12.7109375" style="287" customWidth="1"/>
    <col min="2066" max="2066" width="9.140625" style="287"/>
    <col min="2067" max="2067" width="16.28515625" style="287" customWidth="1"/>
    <col min="2068" max="2304" width="9.140625" style="287"/>
    <col min="2305" max="2306" width="0" style="287" hidden="1" customWidth="1"/>
    <col min="2307" max="2307" width="2.85546875" style="287" customWidth="1"/>
    <col min="2308" max="2308" width="8" style="287" customWidth="1"/>
    <col min="2309" max="2309" width="43.5703125" style="287" customWidth="1"/>
    <col min="2310" max="2310" width="12" style="287" customWidth="1"/>
    <col min="2311" max="2321" width="12.7109375" style="287" customWidth="1"/>
    <col min="2322" max="2322" width="9.140625" style="287"/>
    <col min="2323" max="2323" width="16.28515625" style="287" customWidth="1"/>
    <col min="2324" max="2560" width="9.140625" style="287"/>
    <col min="2561" max="2562" width="0" style="287" hidden="1" customWidth="1"/>
    <col min="2563" max="2563" width="2.85546875" style="287" customWidth="1"/>
    <col min="2564" max="2564" width="8" style="287" customWidth="1"/>
    <col min="2565" max="2565" width="43.5703125" style="287" customWidth="1"/>
    <col min="2566" max="2566" width="12" style="287" customWidth="1"/>
    <col min="2567" max="2577" width="12.7109375" style="287" customWidth="1"/>
    <col min="2578" max="2578" width="9.140625" style="287"/>
    <col min="2579" max="2579" width="16.28515625" style="287" customWidth="1"/>
    <col min="2580" max="2816" width="9.140625" style="287"/>
    <col min="2817" max="2818" width="0" style="287" hidden="1" customWidth="1"/>
    <col min="2819" max="2819" width="2.85546875" style="287" customWidth="1"/>
    <col min="2820" max="2820" width="8" style="287" customWidth="1"/>
    <col min="2821" max="2821" width="43.5703125" style="287" customWidth="1"/>
    <col min="2822" max="2822" width="12" style="287" customWidth="1"/>
    <col min="2823" max="2833" width="12.7109375" style="287" customWidth="1"/>
    <col min="2834" max="2834" width="9.140625" style="287"/>
    <col min="2835" max="2835" width="16.28515625" style="287" customWidth="1"/>
    <col min="2836" max="3072" width="9.140625" style="287"/>
    <col min="3073" max="3074" width="0" style="287" hidden="1" customWidth="1"/>
    <col min="3075" max="3075" width="2.85546875" style="287" customWidth="1"/>
    <col min="3076" max="3076" width="8" style="287" customWidth="1"/>
    <col min="3077" max="3077" width="43.5703125" style="287" customWidth="1"/>
    <col min="3078" max="3078" width="12" style="287" customWidth="1"/>
    <col min="3079" max="3089" width="12.7109375" style="287" customWidth="1"/>
    <col min="3090" max="3090" width="9.140625" style="287"/>
    <col min="3091" max="3091" width="16.28515625" style="287" customWidth="1"/>
    <col min="3092" max="3328" width="9.140625" style="287"/>
    <col min="3329" max="3330" width="0" style="287" hidden="1" customWidth="1"/>
    <col min="3331" max="3331" width="2.85546875" style="287" customWidth="1"/>
    <col min="3332" max="3332" width="8" style="287" customWidth="1"/>
    <col min="3333" max="3333" width="43.5703125" style="287" customWidth="1"/>
    <col min="3334" max="3334" width="12" style="287" customWidth="1"/>
    <col min="3335" max="3345" width="12.7109375" style="287" customWidth="1"/>
    <col min="3346" max="3346" width="9.140625" style="287"/>
    <col min="3347" max="3347" width="16.28515625" style="287" customWidth="1"/>
    <col min="3348" max="3584" width="9.140625" style="287"/>
    <col min="3585" max="3586" width="0" style="287" hidden="1" customWidth="1"/>
    <col min="3587" max="3587" width="2.85546875" style="287" customWidth="1"/>
    <col min="3588" max="3588" width="8" style="287" customWidth="1"/>
    <col min="3589" max="3589" width="43.5703125" style="287" customWidth="1"/>
    <col min="3590" max="3590" width="12" style="287" customWidth="1"/>
    <col min="3591" max="3601" width="12.7109375" style="287" customWidth="1"/>
    <col min="3602" max="3602" width="9.140625" style="287"/>
    <col min="3603" max="3603" width="16.28515625" style="287" customWidth="1"/>
    <col min="3604" max="3840" width="9.140625" style="287"/>
    <col min="3841" max="3842" width="0" style="287" hidden="1" customWidth="1"/>
    <col min="3843" max="3843" width="2.85546875" style="287" customWidth="1"/>
    <col min="3844" max="3844" width="8" style="287" customWidth="1"/>
    <col min="3845" max="3845" width="43.5703125" style="287" customWidth="1"/>
    <col min="3846" max="3846" width="12" style="287" customWidth="1"/>
    <col min="3847" max="3857" width="12.7109375" style="287" customWidth="1"/>
    <col min="3858" max="3858" width="9.140625" style="287"/>
    <col min="3859" max="3859" width="16.28515625" style="287" customWidth="1"/>
    <col min="3860" max="4096" width="9.140625" style="287"/>
    <col min="4097" max="4098" width="0" style="287" hidden="1" customWidth="1"/>
    <col min="4099" max="4099" width="2.85546875" style="287" customWidth="1"/>
    <col min="4100" max="4100" width="8" style="287" customWidth="1"/>
    <col min="4101" max="4101" width="43.5703125" style="287" customWidth="1"/>
    <col min="4102" max="4102" width="12" style="287" customWidth="1"/>
    <col min="4103" max="4113" width="12.7109375" style="287" customWidth="1"/>
    <col min="4114" max="4114" width="9.140625" style="287"/>
    <col min="4115" max="4115" width="16.28515625" style="287" customWidth="1"/>
    <col min="4116" max="4352" width="9.140625" style="287"/>
    <col min="4353" max="4354" width="0" style="287" hidden="1" customWidth="1"/>
    <col min="4355" max="4355" width="2.85546875" style="287" customWidth="1"/>
    <col min="4356" max="4356" width="8" style="287" customWidth="1"/>
    <col min="4357" max="4357" width="43.5703125" style="287" customWidth="1"/>
    <col min="4358" max="4358" width="12" style="287" customWidth="1"/>
    <col min="4359" max="4369" width="12.7109375" style="287" customWidth="1"/>
    <col min="4370" max="4370" width="9.140625" style="287"/>
    <col min="4371" max="4371" width="16.28515625" style="287" customWidth="1"/>
    <col min="4372" max="4608" width="9.140625" style="287"/>
    <col min="4609" max="4610" width="0" style="287" hidden="1" customWidth="1"/>
    <col min="4611" max="4611" width="2.85546875" style="287" customWidth="1"/>
    <col min="4612" max="4612" width="8" style="287" customWidth="1"/>
    <col min="4613" max="4613" width="43.5703125" style="287" customWidth="1"/>
    <col min="4614" max="4614" width="12" style="287" customWidth="1"/>
    <col min="4615" max="4625" width="12.7109375" style="287" customWidth="1"/>
    <col min="4626" max="4626" width="9.140625" style="287"/>
    <col min="4627" max="4627" width="16.28515625" style="287" customWidth="1"/>
    <col min="4628" max="4864" width="9.140625" style="287"/>
    <col min="4865" max="4866" width="0" style="287" hidden="1" customWidth="1"/>
    <col min="4867" max="4867" width="2.85546875" style="287" customWidth="1"/>
    <col min="4868" max="4868" width="8" style="287" customWidth="1"/>
    <col min="4869" max="4869" width="43.5703125" style="287" customWidth="1"/>
    <col min="4870" max="4870" width="12" style="287" customWidth="1"/>
    <col min="4871" max="4881" width="12.7109375" style="287" customWidth="1"/>
    <col min="4882" max="4882" width="9.140625" style="287"/>
    <col min="4883" max="4883" width="16.28515625" style="287" customWidth="1"/>
    <col min="4884" max="5120" width="9.140625" style="287"/>
    <col min="5121" max="5122" width="0" style="287" hidden="1" customWidth="1"/>
    <col min="5123" max="5123" width="2.85546875" style="287" customWidth="1"/>
    <col min="5124" max="5124" width="8" style="287" customWidth="1"/>
    <col min="5125" max="5125" width="43.5703125" style="287" customWidth="1"/>
    <col min="5126" max="5126" width="12" style="287" customWidth="1"/>
    <col min="5127" max="5137" width="12.7109375" style="287" customWidth="1"/>
    <col min="5138" max="5138" width="9.140625" style="287"/>
    <col min="5139" max="5139" width="16.28515625" style="287" customWidth="1"/>
    <col min="5140" max="5376" width="9.140625" style="287"/>
    <col min="5377" max="5378" width="0" style="287" hidden="1" customWidth="1"/>
    <col min="5379" max="5379" width="2.85546875" style="287" customWidth="1"/>
    <col min="5380" max="5380" width="8" style="287" customWidth="1"/>
    <col min="5381" max="5381" width="43.5703125" style="287" customWidth="1"/>
    <col min="5382" max="5382" width="12" style="287" customWidth="1"/>
    <col min="5383" max="5393" width="12.7109375" style="287" customWidth="1"/>
    <col min="5394" max="5394" width="9.140625" style="287"/>
    <col min="5395" max="5395" width="16.28515625" style="287" customWidth="1"/>
    <col min="5396" max="5632" width="9.140625" style="287"/>
    <col min="5633" max="5634" width="0" style="287" hidden="1" customWidth="1"/>
    <col min="5635" max="5635" width="2.85546875" style="287" customWidth="1"/>
    <col min="5636" max="5636" width="8" style="287" customWidth="1"/>
    <col min="5637" max="5637" width="43.5703125" style="287" customWidth="1"/>
    <col min="5638" max="5638" width="12" style="287" customWidth="1"/>
    <col min="5639" max="5649" width="12.7109375" style="287" customWidth="1"/>
    <col min="5650" max="5650" width="9.140625" style="287"/>
    <col min="5651" max="5651" width="16.28515625" style="287" customWidth="1"/>
    <col min="5652" max="5888" width="9.140625" style="287"/>
    <col min="5889" max="5890" width="0" style="287" hidden="1" customWidth="1"/>
    <col min="5891" max="5891" width="2.85546875" style="287" customWidth="1"/>
    <col min="5892" max="5892" width="8" style="287" customWidth="1"/>
    <col min="5893" max="5893" width="43.5703125" style="287" customWidth="1"/>
    <col min="5894" max="5894" width="12" style="287" customWidth="1"/>
    <col min="5895" max="5905" width="12.7109375" style="287" customWidth="1"/>
    <col min="5906" max="5906" width="9.140625" style="287"/>
    <col min="5907" max="5907" width="16.28515625" style="287" customWidth="1"/>
    <col min="5908" max="6144" width="9.140625" style="287"/>
    <col min="6145" max="6146" width="0" style="287" hidden="1" customWidth="1"/>
    <col min="6147" max="6147" width="2.85546875" style="287" customWidth="1"/>
    <col min="6148" max="6148" width="8" style="287" customWidth="1"/>
    <col min="6149" max="6149" width="43.5703125" style="287" customWidth="1"/>
    <col min="6150" max="6150" width="12" style="287" customWidth="1"/>
    <col min="6151" max="6161" width="12.7109375" style="287" customWidth="1"/>
    <col min="6162" max="6162" width="9.140625" style="287"/>
    <col min="6163" max="6163" width="16.28515625" style="287" customWidth="1"/>
    <col min="6164" max="6400" width="9.140625" style="287"/>
    <col min="6401" max="6402" width="0" style="287" hidden="1" customWidth="1"/>
    <col min="6403" max="6403" width="2.85546875" style="287" customWidth="1"/>
    <col min="6404" max="6404" width="8" style="287" customWidth="1"/>
    <col min="6405" max="6405" width="43.5703125" style="287" customWidth="1"/>
    <col min="6406" max="6406" width="12" style="287" customWidth="1"/>
    <col min="6407" max="6417" width="12.7109375" style="287" customWidth="1"/>
    <col min="6418" max="6418" width="9.140625" style="287"/>
    <col min="6419" max="6419" width="16.28515625" style="287" customWidth="1"/>
    <col min="6420" max="6656" width="9.140625" style="287"/>
    <col min="6657" max="6658" width="0" style="287" hidden="1" customWidth="1"/>
    <col min="6659" max="6659" width="2.85546875" style="287" customWidth="1"/>
    <col min="6660" max="6660" width="8" style="287" customWidth="1"/>
    <col min="6661" max="6661" width="43.5703125" style="287" customWidth="1"/>
    <col min="6662" max="6662" width="12" style="287" customWidth="1"/>
    <col min="6663" max="6673" width="12.7109375" style="287" customWidth="1"/>
    <col min="6674" max="6674" width="9.140625" style="287"/>
    <col min="6675" max="6675" width="16.28515625" style="287" customWidth="1"/>
    <col min="6676" max="6912" width="9.140625" style="287"/>
    <col min="6913" max="6914" width="0" style="287" hidden="1" customWidth="1"/>
    <col min="6915" max="6915" width="2.85546875" style="287" customWidth="1"/>
    <col min="6916" max="6916" width="8" style="287" customWidth="1"/>
    <col min="6917" max="6917" width="43.5703125" style="287" customWidth="1"/>
    <col min="6918" max="6918" width="12" style="287" customWidth="1"/>
    <col min="6919" max="6929" width="12.7109375" style="287" customWidth="1"/>
    <col min="6930" max="6930" width="9.140625" style="287"/>
    <col min="6931" max="6931" width="16.28515625" style="287" customWidth="1"/>
    <col min="6932" max="7168" width="9.140625" style="287"/>
    <col min="7169" max="7170" width="0" style="287" hidden="1" customWidth="1"/>
    <col min="7171" max="7171" width="2.85546875" style="287" customWidth="1"/>
    <col min="7172" max="7172" width="8" style="287" customWidth="1"/>
    <col min="7173" max="7173" width="43.5703125" style="287" customWidth="1"/>
    <col min="7174" max="7174" width="12" style="287" customWidth="1"/>
    <col min="7175" max="7185" width="12.7109375" style="287" customWidth="1"/>
    <col min="7186" max="7186" width="9.140625" style="287"/>
    <col min="7187" max="7187" width="16.28515625" style="287" customWidth="1"/>
    <col min="7188" max="7424" width="9.140625" style="287"/>
    <col min="7425" max="7426" width="0" style="287" hidden="1" customWidth="1"/>
    <col min="7427" max="7427" width="2.85546875" style="287" customWidth="1"/>
    <col min="7428" max="7428" width="8" style="287" customWidth="1"/>
    <col min="7429" max="7429" width="43.5703125" style="287" customWidth="1"/>
    <col min="7430" max="7430" width="12" style="287" customWidth="1"/>
    <col min="7431" max="7441" width="12.7109375" style="287" customWidth="1"/>
    <col min="7442" max="7442" width="9.140625" style="287"/>
    <col min="7443" max="7443" width="16.28515625" style="287" customWidth="1"/>
    <col min="7444" max="7680" width="9.140625" style="287"/>
    <col min="7681" max="7682" width="0" style="287" hidden="1" customWidth="1"/>
    <col min="7683" max="7683" width="2.85546875" style="287" customWidth="1"/>
    <col min="7684" max="7684" width="8" style="287" customWidth="1"/>
    <col min="7685" max="7685" width="43.5703125" style="287" customWidth="1"/>
    <col min="7686" max="7686" width="12" style="287" customWidth="1"/>
    <col min="7687" max="7697" width="12.7109375" style="287" customWidth="1"/>
    <col min="7698" max="7698" width="9.140625" style="287"/>
    <col min="7699" max="7699" width="16.28515625" style="287" customWidth="1"/>
    <col min="7700" max="7936" width="9.140625" style="287"/>
    <col min="7937" max="7938" width="0" style="287" hidden="1" customWidth="1"/>
    <col min="7939" max="7939" width="2.85546875" style="287" customWidth="1"/>
    <col min="7940" max="7940" width="8" style="287" customWidth="1"/>
    <col min="7941" max="7941" width="43.5703125" style="287" customWidth="1"/>
    <col min="7942" max="7942" width="12" style="287" customWidth="1"/>
    <col min="7943" max="7953" width="12.7109375" style="287" customWidth="1"/>
    <col min="7954" max="7954" width="9.140625" style="287"/>
    <col min="7955" max="7955" width="16.28515625" style="287" customWidth="1"/>
    <col min="7956" max="8192" width="9.140625" style="287"/>
    <col min="8193" max="8194" width="0" style="287" hidden="1" customWidth="1"/>
    <col min="8195" max="8195" width="2.85546875" style="287" customWidth="1"/>
    <col min="8196" max="8196" width="8" style="287" customWidth="1"/>
    <col min="8197" max="8197" width="43.5703125" style="287" customWidth="1"/>
    <col min="8198" max="8198" width="12" style="287" customWidth="1"/>
    <col min="8199" max="8209" width="12.7109375" style="287" customWidth="1"/>
    <col min="8210" max="8210" width="9.140625" style="287"/>
    <col min="8211" max="8211" width="16.28515625" style="287" customWidth="1"/>
    <col min="8212" max="8448" width="9.140625" style="287"/>
    <col min="8449" max="8450" width="0" style="287" hidden="1" customWidth="1"/>
    <col min="8451" max="8451" width="2.85546875" style="287" customWidth="1"/>
    <col min="8452" max="8452" width="8" style="287" customWidth="1"/>
    <col min="8453" max="8453" width="43.5703125" style="287" customWidth="1"/>
    <col min="8454" max="8454" width="12" style="287" customWidth="1"/>
    <col min="8455" max="8465" width="12.7109375" style="287" customWidth="1"/>
    <col min="8466" max="8466" width="9.140625" style="287"/>
    <col min="8467" max="8467" width="16.28515625" style="287" customWidth="1"/>
    <col min="8468" max="8704" width="9.140625" style="287"/>
    <col min="8705" max="8706" width="0" style="287" hidden="1" customWidth="1"/>
    <col min="8707" max="8707" width="2.85546875" style="287" customWidth="1"/>
    <col min="8708" max="8708" width="8" style="287" customWidth="1"/>
    <col min="8709" max="8709" width="43.5703125" style="287" customWidth="1"/>
    <col min="8710" max="8710" width="12" style="287" customWidth="1"/>
    <col min="8711" max="8721" width="12.7109375" style="287" customWidth="1"/>
    <col min="8722" max="8722" width="9.140625" style="287"/>
    <col min="8723" max="8723" width="16.28515625" style="287" customWidth="1"/>
    <col min="8724" max="8960" width="9.140625" style="287"/>
    <col min="8961" max="8962" width="0" style="287" hidden="1" customWidth="1"/>
    <col min="8963" max="8963" width="2.85546875" style="287" customWidth="1"/>
    <col min="8964" max="8964" width="8" style="287" customWidth="1"/>
    <col min="8965" max="8965" width="43.5703125" style="287" customWidth="1"/>
    <col min="8966" max="8966" width="12" style="287" customWidth="1"/>
    <col min="8967" max="8977" width="12.7109375" style="287" customWidth="1"/>
    <col min="8978" max="8978" width="9.140625" style="287"/>
    <col min="8979" max="8979" width="16.28515625" style="287" customWidth="1"/>
    <col min="8980" max="9216" width="9.140625" style="287"/>
    <col min="9217" max="9218" width="0" style="287" hidden="1" customWidth="1"/>
    <col min="9219" max="9219" width="2.85546875" style="287" customWidth="1"/>
    <col min="9220" max="9220" width="8" style="287" customWidth="1"/>
    <col min="9221" max="9221" width="43.5703125" style="287" customWidth="1"/>
    <col min="9222" max="9222" width="12" style="287" customWidth="1"/>
    <col min="9223" max="9233" width="12.7109375" style="287" customWidth="1"/>
    <col min="9234" max="9234" width="9.140625" style="287"/>
    <col min="9235" max="9235" width="16.28515625" style="287" customWidth="1"/>
    <col min="9236" max="9472" width="9.140625" style="287"/>
    <col min="9473" max="9474" width="0" style="287" hidden="1" customWidth="1"/>
    <col min="9475" max="9475" width="2.85546875" style="287" customWidth="1"/>
    <col min="9476" max="9476" width="8" style="287" customWidth="1"/>
    <col min="9477" max="9477" width="43.5703125" style="287" customWidth="1"/>
    <col min="9478" max="9478" width="12" style="287" customWidth="1"/>
    <col min="9479" max="9489" width="12.7109375" style="287" customWidth="1"/>
    <col min="9490" max="9490" width="9.140625" style="287"/>
    <col min="9491" max="9491" width="16.28515625" style="287" customWidth="1"/>
    <col min="9492" max="9728" width="9.140625" style="287"/>
    <col min="9729" max="9730" width="0" style="287" hidden="1" customWidth="1"/>
    <col min="9731" max="9731" width="2.85546875" style="287" customWidth="1"/>
    <col min="9732" max="9732" width="8" style="287" customWidth="1"/>
    <col min="9733" max="9733" width="43.5703125" style="287" customWidth="1"/>
    <col min="9734" max="9734" width="12" style="287" customWidth="1"/>
    <col min="9735" max="9745" width="12.7109375" style="287" customWidth="1"/>
    <col min="9746" max="9746" width="9.140625" style="287"/>
    <col min="9747" max="9747" width="16.28515625" style="287" customWidth="1"/>
    <col min="9748" max="9984" width="9.140625" style="287"/>
    <col min="9985" max="9986" width="0" style="287" hidden="1" customWidth="1"/>
    <col min="9987" max="9987" width="2.85546875" style="287" customWidth="1"/>
    <col min="9988" max="9988" width="8" style="287" customWidth="1"/>
    <col min="9989" max="9989" width="43.5703125" style="287" customWidth="1"/>
    <col min="9990" max="9990" width="12" style="287" customWidth="1"/>
    <col min="9991" max="10001" width="12.7109375" style="287" customWidth="1"/>
    <col min="10002" max="10002" width="9.140625" style="287"/>
    <col min="10003" max="10003" width="16.28515625" style="287" customWidth="1"/>
    <col min="10004" max="10240" width="9.140625" style="287"/>
    <col min="10241" max="10242" width="0" style="287" hidden="1" customWidth="1"/>
    <col min="10243" max="10243" width="2.85546875" style="287" customWidth="1"/>
    <col min="10244" max="10244" width="8" style="287" customWidth="1"/>
    <col min="10245" max="10245" width="43.5703125" style="287" customWidth="1"/>
    <col min="10246" max="10246" width="12" style="287" customWidth="1"/>
    <col min="10247" max="10257" width="12.7109375" style="287" customWidth="1"/>
    <col min="10258" max="10258" width="9.140625" style="287"/>
    <col min="10259" max="10259" width="16.28515625" style="287" customWidth="1"/>
    <col min="10260" max="10496" width="9.140625" style="287"/>
    <col min="10497" max="10498" width="0" style="287" hidden="1" customWidth="1"/>
    <col min="10499" max="10499" width="2.85546875" style="287" customWidth="1"/>
    <col min="10500" max="10500" width="8" style="287" customWidth="1"/>
    <col min="10501" max="10501" width="43.5703125" style="287" customWidth="1"/>
    <col min="10502" max="10502" width="12" style="287" customWidth="1"/>
    <col min="10503" max="10513" width="12.7109375" style="287" customWidth="1"/>
    <col min="10514" max="10514" width="9.140625" style="287"/>
    <col min="10515" max="10515" width="16.28515625" style="287" customWidth="1"/>
    <col min="10516" max="10752" width="9.140625" style="287"/>
    <col min="10753" max="10754" width="0" style="287" hidden="1" customWidth="1"/>
    <col min="10755" max="10755" width="2.85546875" style="287" customWidth="1"/>
    <col min="10756" max="10756" width="8" style="287" customWidth="1"/>
    <col min="10757" max="10757" width="43.5703125" style="287" customWidth="1"/>
    <col min="10758" max="10758" width="12" style="287" customWidth="1"/>
    <col min="10759" max="10769" width="12.7109375" style="287" customWidth="1"/>
    <col min="10770" max="10770" width="9.140625" style="287"/>
    <col min="10771" max="10771" width="16.28515625" style="287" customWidth="1"/>
    <col min="10772" max="11008" width="9.140625" style="287"/>
    <col min="11009" max="11010" width="0" style="287" hidden="1" customWidth="1"/>
    <col min="11011" max="11011" width="2.85546875" style="287" customWidth="1"/>
    <col min="11012" max="11012" width="8" style="287" customWidth="1"/>
    <col min="11013" max="11013" width="43.5703125" style="287" customWidth="1"/>
    <col min="11014" max="11014" width="12" style="287" customWidth="1"/>
    <col min="11015" max="11025" width="12.7109375" style="287" customWidth="1"/>
    <col min="11026" max="11026" width="9.140625" style="287"/>
    <col min="11027" max="11027" width="16.28515625" style="287" customWidth="1"/>
    <col min="11028" max="11264" width="9.140625" style="287"/>
    <col min="11265" max="11266" width="0" style="287" hidden="1" customWidth="1"/>
    <col min="11267" max="11267" width="2.85546875" style="287" customWidth="1"/>
    <col min="11268" max="11268" width="8" style="287" customWidth="1"/>
    <col min="11269" max="11269" width="43.5703125" style="287" customWidth="1"/>
    <col min="11270" max="11270" width="12" style="287" customWidth="1"/>
    <col min="11271" max="11281" width="12.7109375" style="287" customWidth="1"/>
    <col min="11282" max="11282" width="9.140625" style="287"/>
    <col min="11283" max="11283" width="16.28515625" style="287" customWidth="1"/>
    <col min="11284" max="11520" width="9.140625" style="287"/>
    <col min="11521" max="11522" width="0" style="287" hidden="1" customWidth="1"/>
    <col min="11523" max="11523" width="2.85546875" style="287" customWidth="1"/>
    <col min="11524" max="11524" width="8" style="287" customWidth="1"/>
    <col min="11525" max="11525" width="43.5703125" style="287" customWidth="1"/>
    <col min="11526" max="11526" width="12" style="287" customWidth="1"/>
    <col min="11527" max="11537" width="12.7109375" style="287" customWidth="1"/>
    <col min="11538" max="11538" width="9.140625" style="287"/>
    <col min="11539" max="11539" width="16.28515625" style="287" customWidth="1"/>
    <col min="11540" max="11776" width="9.140625" style="287"/>
    <col min="11777" max="11778" width="0" style="287" hidden="1" customWidth="1"/>
    <col min="11779" max="11779" width="2.85546875" style="287" customWidth="1"/>
    <col min="11780" max="11780" width="8" style="287" customWidth="1"/>
    <col min="11781" max="11781" width="43.5703125" style="287" customWidth="1"/>
    <col min="11782" max="11782" width="12" style="287" customWidth="1"/>
    <col min="11783" max="11793" width="12.7109375" style="287" customWidth="1"/>
    <col min="11794" max="11794" width="9.140625" style="287"/>
    <col min="11795" max="11795" width="16.28515625" style="287" customWidth="1"/>
    <col min="11796" max="12032" width="9.140625" style="287"/>
    <col min="12033" max="12034" width="0" style="287" hidden="1" customWidth="1"/>
    <col min="12035" max="12035" width="2.85546875" style="287" customWidth="1"/>
    <col min="12036" max="12036" width="8" style="287" customWidth="1"/>
    <col min="12037" max="12037" width="43.5703125" style="287" customWidth="1"/>
    <col min="12038" max="12038" width="12" style="287" customWidth="1"/>
    <col min="12039" max="12049" width="12.7109375" style="287" customWidth="1"/>
    <col min="12050" max="12050" width="9.140625" style="287"/>
    <col min="12051" max="12051" width="16.28515625" style="287" customWidth="1"/>
    <col min="12052" max="12288" width="9.140625" style="287"/>
    <col min="12289" max="12290" width="0" style="287" hidden="1" customWidth="1"/>
    <col min="12291" max="12291" width="2.85546875" style="287" customWidth="1"/>
    <col min="12292" max="12292" width="8" style="287" customWidth="1"/>
    <col min="12293" max="12293" width="43.5703125" style="287" customWidth="1"/>
    <col min="12294" max="12294" width="12" style="287" customWidth="1"/>
    <col min="12295" max="12305" width="12.7109375" style="287" customWidth="1"/>
    <col min="12306" max="12306" width="9.140625" style="287"/>
    <col min="12307" max="12307" width="16.28515625" style="287" customWidth="1"/>
    <col min="12308" max="12544" width="9.140625" style="287"/>
    <col min="12545" max="12546" width="0" style="287" hidden="1" customWidth="1"/>
    <col min="12547" max="12547" width="2.85546875" style="287" customWidth="1"/>
    <col min="12548" max="12548" width="8" style="287" customWidth="1"/>
    <col min="12549" max="12549" width="43.5703125" style="287" customWidth="1"/>
    <col min="12550" max="12550" width="12" style="287" customWidth="1"/>
    <col min="12551" max="12561" width="12.7109375" style="287" customWidth="1"/>
    <col min="12562" max="12562" width="9.140625" style="287"/>
    <col min="12563" max="12563" width="16.28515625" style="287" customWidth="1"/>
    <col min="12564" max="12800" width="9.140625" style="287"/>
    <col min="12801" max="12802" width="0" style="287" hidden="1" customWidth="1"/>
    <col min="12803" max="12803" width="2.85546875" style="287" customWidth="1"/>
    <col min="12804" max="12804" width="8" style="287" customWidth="1"/>
    <col min="12805" max="12805" width="43.5703125" style="287" customWidth="1"/>
    <col min="12806" max="12806" width="12" style="287" customWidth="1"/>
    <col min="12807" max="12817" width="12.7109375" style="287" customWidth="1"/>
    <col min="12818" max="12818" width="9.140625" style="287"/>
    <col min="12819" max="12819" width="16.28515625" style="287" customWidth="1"/>
    <col min="12820" max="13056" width="9.140625" style="287"/>
    <col min="13057" max="13058" width="0" style="287" hidden="1" customWidth="1"/>
    <col min="13059" max="13059" width="2.85546875" style="287" customWidth="1"/>
    <col min="13060" max="13060" width="8" style="287" customWidth="1"/>
    <col min="13061" max="13061" width="43.5703125" style="287" customWidth="1"/>
    <col min="13062" max="13062" width="12" style="287" customWidth="1"/>
    <col min="13063" max="13073" width="12.7109375" style="287" customWidth="1"/>
    <col min="13074" max="13074" width="9.140625" style="287"/>
    <col min="13075" max="13075" width="16.28515625" style="287" customWidth="1"/>
    <col min="13076" max="13312" width="9.140625" style="287"/>
    <col min="13313" max="13314" width="0" style="287" hidden="1" customWidth="1"/>
    <col min="13315" max="13315" width="2.85546875" style="287" customWidth="1"/>
    <col min="13316" max="13316" width="8" style="287" customWidth="1"/>
    <col min="13317" max="13317" width="43.5703125" style="287" customWidth="1"/>
    <col min="13318" max="13318" width="12" style="287" customWidth="1"/>
    <col min="13319" max="13329" width="12.7109375" style="287" customWidth="1"/>
    <col min="13330" max="13330" width="9.140625" style="287"/>
    <col min="13331" max="13331" width="16.28515625" style="287" customWidth="1"/>
    <col min="13332" max="13568" width="9.140625" style="287"/>
    <col min="13569" max="13570" width="0" style="287" hidden="1" customWidth="1"/>
    <col min="13571" max="13571" width="2.85546875" style="287" customWidth="1"/>
    <col min="13572" max="13572" width="8" style="287" customWidth="1"/>
    <col min="13573" max="13573" width="43.5703125" style="287" customWidth="1"/>
    <col min="13574" max="13574" width="12" style="287" customWidth="1"/>
    <col min="13575" max="13585" width="12.7109375" style="287" customWidth="1"/>
    <col min="13586" max="13586" width="9.140625" style="287"/>
    <col min="13587" max="13587" width="16.28515625" style="287" customWidth="1"/>
    <col min="13588" max="13824" width="9.140625" style="287"/>
    <col min="13825" max="13826" width="0" style="287" hidden="1" customWidth="1"/>
    <col min="13827" max="13827" width="2.85546875" style="287" customWidth="1"/>
    <col min="13828" max="13828" width="8" style="287" customWidth="1"/>
    <col min="13829" max="13829" width="43.5703125" style="287" customWidth="1"/>
    <col min="13830" max="13830" width="12" style="287" customWidth="1"/>
    <col min="13831" max="13841" width="12.7109375" style="287" customWidth="1"/>
    <col min="13842" max="13842" width="9.140625" style="287"/>
    <col min="13843" max="13843" width="16.28515625" style="287" customWidth="1"/>
    <col min="13844" max="14080" width="9.140625" style="287"/>
    <col min="14081" max="14082" width="0" style="287" hidden="1" customWidth="1"/>
    <col min="14083" max="14083" width="2.85546875" style="287" customWidth="1"/>
    <col min="14084" max="14084" width="8" style="287" customWidth="1"/>
    <col min="14085" max="14085" width="43.5703125" style="287" customWidth="1"/>
    <col min="14086" max="14086" width="12" style="287" customWidth="1"/>
    <col min="14087" max="14097" width="12.7109375" style="287" customWidth="1"/>
    <col min="14098" max="14098" width="9.140625" style="287"/>
    <col min="14099" max="14099" width="16.28515625" style="287" customWidth="1"/>
    <col min="14100" max="14336" width="9.140625" style="287"/>
    <col min="14337" max="14338" width="0" style="287" hidden="1" customWidth="1"/>
    <col min="14339" max="14339" width="2.85546875" style="287" customWidth="1"/>
    <col min="14340" max="14340" width="8" style="287" customWidth="1"/>
    <col min="14341" max="14341" width="43.5703125" style="287" customWidth="1"/>
    <col min="14342" max="14342" width="12" style="287" customWidth="1"/>
    <col min="14343" max="14353" width="12.7109375" style="287" customWidth="1"/>
    <col min="14354" max="14354" width="9.140625" style="287"/>
    <col min="14355" max="14355" width="16.28515625" style="287" customWidth="1"/>
    <col min="14356" max="14592" width="9.140625" style="287"/>
    <col min="14593" max="14594" width="0" style="287" hidden="1" customWidth="1"/>
    <col min="14595" max="14595" width="2.85546875" style="287" customWidth="1"/>
    <col min="14596" max="14596" width="8" style="287" customWidth="1"/>
    <col min="14597" max="14597" width="43.5703125" style="287" customWidth="1"/>
    <col min="14598" max="14598" width="12" style="287" customWidth="1"/>
    <col min="14599" max="14609" width="12.7109375" style="287" customWidth="1"/>
    <col min="14610" max="14610" width="9.140625" style="287"/>
    <col min="14611" max="14611" width="16.28515625" style="287" customWidth="1"/>
    <col min="14612" max="14848" width="9.140625" style="287"/>
    <col min="14849" max="14850" width="0" style="287" hidden="1" customWidth="1"/>
    <col min="14851" max="14851" width="2.85546875" style="287" customWidth="1"/>
    <col min="14852" max="14852" width="8" style="287" customWidth="1"/>
    <col min="14853" max="14853" width="43.5703125" style="287" customWidth="1"/>
    <col min="14854" max="14854" width="12" style="287" customWidth="1"/>
    <col min="14855" max="14865" width="12.7109375" style="287" customWidth="1"/>
    <col min="14866" max="14866" width="9.140625" style="287"/>
    <col min="14867" max="14867" width="16.28515625" style="287" customWidth="1"/>
    <col min="14868" max="15104" width="9.140625" style="287"/>
    <col min="15105" max="15106" width="0" style="287" hidden="1" customWidth="1"/>
    <col min="15107" max="15107" width="2.85546875" style="287" customWidth="1"/>
    <col min="15108" max="15108" width="8" style="287" customWidth="1"/>
    <col min="15109" max="15109" width="43.5703125" style="287" customWidth="1"/>
    <col min="15110" max="15110" width="12" style="287" customWidth="1"/>
    <col min="15111" max="15121" width="12.7109375" style="287" customWidth="1"/>
    <col min="15122" max="15122" width="9.140625" style="287"/>
    <col min="15123" max="15123" width="16.28515625" style="287" customWidth="1"/>
    <col min="15124" max="15360" width="9.140625" style="287"/>
    <col min="15361" max="15362" width="0" style="287" hidden="1" customWidth="1"/>
    <col min="15363" max="15363" width="2.85546875" style="287" customWidth="1"/>
    <col min="15364" max="15364" width="8" style="287" customWidth="1"/>
    <col min="15365" max="15365" width="43.5703125" style="287" customWidth="1"/>
    <col min="15366" max="15366" width="12" style="287" customWidth="1"/>
    <col min="15367" max="15377" width="12.7109375" style="287" customWidth="1"/>
    <col min="15378" max="15378" width="9.140625" style="287"/>
    <col min="15379" max="15379" width="16.28515625" style="287" customWidth="1"/>
    <col min="15380" max="15616" width="9.140625" style="287"/>
    <col min="15617" max="15618" width="0" style="287" hidden="1" customWidth="1"/>
    <col min="15619" max="15619" width="2.85546875" style="287" customWidth="1"/>
    <col min="15620" max="15620" width="8" style="287" customWidth="1"/>
    <col min="15621" max="15621" width="43.5703125" style="287" customWidth="1"/>
    <col min="15622" max="15622" width="12" style="287" customWidth="1"/>
    <col min="15623" max="15633" width="12.7109375" style="287" customWidth="1"/>
    <col min="15634" max="15634" width="9.140625" style="287"/>
    <col min="15635" max="15635" width="16.28515625" style="287" customWidth="1"/>
    <col min="15636" max="15872" width="9.140625" style="287"/>
    <col min="15873" max="15874" width="0" style="287" hidden="1" customWidth="1"/>
    <col min="15875" max="15875" width="2.85546875" style="287" customWidth="1"/>
    <col min="15876" max="15876" width="8" style="287" customWidth="1"/>
    <col min="15877" max="15877" width="43.5703125" style="287" customWidth="1"/>
    <col min="15878" max="15878" width="12" style="287" customWidth="1"/>
    <col min="15879" max="15889" width="12.7109375" style="287" customWidth="1"/>
    <col min="15890" max="15890" width="9.140625" style="287"/>
    <col min="15891" max="15891" width="16.28515625" style="287" customWidth="1"/>
    <col min="15892" max="16128" width="9.140625" style="287"/>
    <col min="16129" max="16130" width="0" style="287" hidden="1" customWidth="1"/>
    <col min="16131" max="16131" width="2.85546875" style="287" customWidth="1"/>
    <col min="16132" max="16132" width="8" style="287" customWidth="1"/>
    <col min="16133" max="16133" width="43.5703125" style="287" customWidth="1"/>
    <col min="16134" max="16134" width="12" style="287" customWidth="1"/>
    <col min="16135" max="16145" width="12.7109375" style="287" customWidth="1"/>
    <col min="16146" max="16146" width="9.140625" style="287"/>
    <col min="16147" max="16147" width="16.28515625" style="287" customWidth="1"/>
    <col min="16148" max="16384" width="9.140625" style="287"/>
  </cols>
  <sheetData>
    <row r="1" spans="1:18" ht="16.5" customHeight="1">
      <c r="A1" s="286">
        <v>0</v>
      </c>
    </row>
    <row r="3" spans="1:18" ht="15" customHeight="1">
      <c r="D3" s="2501"/>
      <c r="E3" s="2501"/>
      <c r="F3" s="2501"/>
      <c r="G3" s="2502"/>
      <c r="H3" s="2502"/>
      <c r="I3" s="2502"/>
      <c r="J3" s="2502"/>
      <c r="K3" s="2502"/>
      <c r="L3" s="2502"/>
      <c r="M3" s="2502"/>
      <c r="N3" s="2502"/>
      <c r="O3" s="2502"/>
      <c r="P3" s="2502"/>
      <c r="Q3" s="2502"/>
    </row>
    <row r="4" spans="1:18" ht="11.25" customHeight="1">
      <c r="D4" s="290"/>
      <c r="E4" s="291"/>
      <c r="F4" s="292"/>
      <c r="G4" s="2503"/>
      <c r="H4" s="2504"/>
      <c r="I4" s="2505"/>
      <c r="J4" s="2505"/>
      <c r="K4" s="2505"/>
      <c r="L4" s="2505"/>
      <c r="M4" s="2505"/>
      <c r="N4" s="2505"/>
      <c r="O4" s="2505"/>
      <c r="P4" s="2505"/>
      <c r="Q4" s="2506"/>
      <c r="R4" s="293"/>
    </row>
    <row r="5" spans="1:18" ht="22.5">
      <c r="D5" s="294" t="s">
        <v>12</v>
      </c>
      <c r="E5" s="295" t="s">
        <v>219</v>
      </c>
      <c r="F5" s="295" t="s">
        <v>175</v>
      </c>
      <c r="G5" s="296">
        <f>H5-1</f>
        <v>2018</v>
      </c>
      <c r="H5" s="1938">
        <f>'0. Анкета'!$C$13</f>
        <v>2019</v>
      </c>
      <c r="I5" s="297">
        <f t="shared" ref="I5:P5" si="0">H5+1</f>
        <v>2020</v>
      </c>
      <c r="J5" s="297">
        <f t="shared" si="0"/>
        <v>2021</v>
      </c>
      <c r="K5" s="297">
        <f t="shared" si="0"/>
        <v>2022</v>
      </c>
      <c r="L5" s="297">
        <f t="shared" si="0"/>
        <v>2023</v>
      </c>
      <c r="M5" s="297">
        <f t="shared" si="0"/>
        <v>2024</v>
      </c>
      <c r="N5" s="297">
        <f t="shared" si="0"/>
        <v>2025</v>
      </c>
      <c r="O5" s="297">
        <f t="shared" si="0"/>
        <v>2026</v>
      </c>
      <c r="P5" s="297">
        <f t="shared" si="0"/>
        <v>2027</v>
      </c>
      <c r="Q5" s="298">
        <v>2023</v>
      </c>
    </row>
    <row r="6" spans="1:18" ht="12" customHeight="1">
      <c r="D6" s="2507" t="s">
        <v>296</v>
      </c>
      <c r="E6" s="2507"/>
      <c r="F6" s="299"/>
      <c r="G6" s="300"/>
      <c r="H6" s="301"/>
      <c r="I6" s="301"/>
      <c r="J6" s="301"/>
      <c r="K6" s="301"/>
      <c r="L6" s="301"/>
      <c r="M6" s="301"/>
      <c r="N6" s="301"/>
      <c r="O6" s="301"/>
      <c r="P6" s="301"/>
      <c r="Q6" s="302"/>
      <c r="R6" s="303"/>
    </row>
    <row r="7" spans="1:18">
      <c r="D7" s="304" t="s">
        <v>297</v>
      </c>
      <c r="E7" s="305" t="s">
        <v>298</v>
      </c>
      <c r="F7" s="306" t="s">
        <v>268</v>
      </c>
      <c r="G7" s="307"/>
      <c r="H7" s="308"/>
      <c r="I7" s="308"/>
      <c r="J7" s="308"/>
      <c r="K7" s="308"/>
      <c r="L7" s="308"/>
      <c r="M7" s="308"/>
      <c r="N7" s="308"/>
      <c r="O7" s="308"/>
      <c r="P7" s="308"/>
      <c r="Q7" s="309"/>
    </row>
    <row r="8" spans="1:18" ht="22.5">
      <c r="D8" s="304" t="s">
        <v>299</v>
      </c>
      <c r="E8" s="305" t="s">
        <v>300</v>
      </c>
      <c r="F8" s="306" t="s">
        <v>268</v>
      </c>
      <c r="G8" s="307"/>
      <c r="H8" s="308"/>
      <c r="I8" s="308"/>
      <c r="J8" s="308"/>
      <c r="K8" s="308"/>
      <c r="L8" s="308"/>
      <c r="M8" s="308"/>
      <c r="N8" s="308"/>
      <c r="O8" s="308"/>
      <c r="P8" s="308"/>
      <c r="Q8" s="309"/>
    </row>
    <row r="9" spans="1:18">
      <c r="D9" s="304" t="s">
        <v>301</v>
      </c>
      <c r="E9" s="310" t="s">
        <v>302</v>
      </c>
      <c r="F9" s="306" t="s">
        <v>276</v>
      </c>
      <c r="G9" s="311">
        <f t="shared" ref="G9:Q9" si="1">SUM(G10:G13)</f>
        <v>0</v>
      </c>
      <c r="H9" s="312">
        <f t="shared" si="1"/>
        <v>0</v>
      </c>
      <c r="I9" s="312">
        <f t="shared" si="1"/>
        <v>0</v>
      </c>
      <c r="J9" s="312">
        <f t="shared" si="1"/>
        <v>0</v>
      </c>
      <c r="K9" s="312">
        <f t="shared" si="1"/>
        <v>0</v>
      </c>
      <c r="L9" s="312">
        <f t="shared" si="1"/>
        <v>0</v>
      </c>
      <c r="M9" s="312">
        <f t="shared" si="1"/>
        <v>0</v>
      </c>
      <c r="N9" s="312">
        <f t="shared" si="1"/>
        <v>0</v>
      </c>
      <c r="O9" s="312">
        <f t="shared" si="1"/>
        <v>0</v>
      </c>
      <c r="P9" s="312">
        <f t="shared" si="1"/>
        <v>0</v>
      </c>
      <c r="Q9" s="313">
        <f t="shared" si="1"/>
        <v>0</v>
      </c>
    </row>
    <row r="10" spans="1:18">
      <c r="D10" s="304" t="s">
        <v>303</v>
      </c>
      <c r="E10" s="314" t="s">
        <v>168</v>
      </c>
      <c r="F10" s="315" t="s">
        <v>276</v>
      </c>
      <c r="G10" s="316"/>
      <c r="H10" s="317"/>
      <c r="I10" s="317"/>
      <c r="J10" s="317"/>
      <c r="K10" s="317"/>
      <c r="L10" s="317"/>
      <c r="M10" s="317"/>
      <c r="N10" s="317"/>
      <c r="O10" s="317"/>
      <c r="P10" s="317"/>
      <c r="Q10" s="318"/>
    </row>
    <row r="11" spans="1:18">
      <c r="D11" s="304" t="s">
        <v>304</v>
      </c>
      <c r="E11" s="314" t="s">
        <v>208</v>
      </c>
      <c r="F11" s="315" t="s">
        <v>276</v>
      </c>
      <c r="G11" s="316"/>
      <c r="H11" s="317"/>
      <c r="I11" s="317"/>
      <c r="J11" s="317"/>
      <c r="K11" s="317"/>
      <c r="L11" s="317"/>
      <c r="M11" s="317"/>
      <c r="N11" s="317"/>
      <c r="O11" s="317"/>
      <c r="P11" s="317"/>
      <c r="Q11" s="318"/>
    </row>
    <row r="12" spans="1:18">
      <c r="D12" s="304" t="s">
        <v>305</v>
      </c>
      <c r="E12" s="314" t="s">
        <v>209</v>
      </c>
      <c r="F12" s="315" t="s">
        <v>276</v>
      </c>
      <c r="G12" s="316"/>
      <c r="H12" s="317"/>
      <c r="I12" s="317"/>
      <c r="J12" s="317"/>
      <c r="K12" s="317"/>
      <c r="L12" s="317"/>
      <c r="M12" s="317"/>
      <c r="N12" s="317"/>
      <c r="O12" s="317"/>
      <c r="P12" s="317"/>
      <c r="Q12" s="318"/>
    </row>
    <row r="13" spans="1:18">
      <c r="D13" s="304" t="s">
        <v>306</v>
      </c>
      <c r="E13" s="314" t="s">
        <v>171</v>
      </c>
      <c r="F13" s="315" t="s">
        <v>276</v>
      </c>
      <c r="G13" s="316"/>
      <c r="H13" s="317"/>
      <c r="I13" s="317"/>
      <c r="J13" s="317"/>
      <c r="K13" s="317"/>
      <c r="L13" s="317"/>
      <c r="M13" s="317"/>
      <c r="N13" s="317"/>
      <c r="O13" s="317"/>
      <c r="P13" s="317"/>
      <c r="Q13" s="318"/>
    </row>
    <row r="14" spans="1:18" ht="22.5">
      <c r="D14" s="319" t="s">
        <v>307</v>
      </c>
      <c r="E14" s="320" t="s">
        <v>308</v>
      </c>
      <c r="F14" s="321"/>
      <c r="G14" s="322">
        <v>0.75</v>
      </c>
      <c r="H14" s="312">
        <v>0.75</v>
      </c>
      <c r="I14" s="323">
        <v>0.75</v>
      </c>
      <c r="J14" s="323">
        <v>0.75</v>
      </c>
      <c r="K14" s="323">
        <v>0.75</v>
      </c>
      <c r="L14" s="323">
        <v>0.75</v>
      </c>
      <c r="M14" s="323">
        <v>0.75</v>
      </c>
      <c r="N14" s="323">
        <v>0.75</v>
      </c>
      <c r="O14" s="323">
        <v>0.75</v>
      </c>
      <c r="P14" s="323">
        <v>0.75</v>
      </c>
      <c r="Q14" s="313">
        <v>0.75</v>
      </c>
    </row>
    <row r="15" spans="1:18" ht="12.75">
      <c r="D15" s="319" t="s">
        <v>309</v>
      </c>
      <c r="E15" s="310" t="s">
        <v>310</v>
      </c>
      <c r="F15" s="306" t="s">
        <v>268</v>
      </c>
      <c r="G15" s="307">
        <v>7.7000000000000002E-3</v>
      </c>
      <c r="H15" s="324">
        <f t="shared" ref="H15:N15" si="2">IF(G17=0,0,(H9-G17)/G17*H14)</f>
        <v>0</v>
      </c>
      <c r="I15" s="324">
        <f t="shared" si="2"/>
        <v>0</v>
      </c>
      <c r="J15" s="324">
        <f t="shared" si="2"/>
        <v>0</v>
      </c>
      <c r="K15" s="324">
        <f t="shared" si="2"/>
        <v>0</v>
      </c>
      <c r="L15" s="324">
        <f t="shared" si="2"/>
        <v>0</v>
      </c>
      <c r="M15" s="324">
        <f t="shared" si="2"/>
        <v>0</v>
      </c>
      <c r="N15" s="324">
        <f t="shared" si="2"/>
        <v>0</v>
      </c>
      <c r="O15" s="324">
        <f>IF(N9=0,0,(O9-N9)/N9*O14)</f>
        <v>0</v>
      </c>
      <c r="P15" s="324">
        <f>IF(O9=0,0,(P9-O9)/O9*P14)</f>
        <v>0</v>
      </c>
      <c r="Q15" s="325">
        <f>IF(P9=0,0,(Q9-P9)/P9*Q14)</f>
        <v>0</v>
      </c>
    </row>
    <row r="16" spans="1:18">
      <c r="D16" s="304" t="s">
        <v>311</v>
      </c>
      <c r="E16" s="326" t="s">
        <v>312</v>
      </c>
      <c r="F16" s="295"/>
      <c r="G16" s="327"/>
      <c r="H16" s="328">
        <f t="shared" ref="H16:Q16" si="3">(1+H7)*(1-H8)*(1+H15)</f>
        <v>1</v>
      </c>
      <c r="I16" s="329">
        <f t="shared" si="3"/>
        <v>1</v>
      </c>
      <c r="J16" s="329">
        <f t="shared" si="3"/>
        <v>1</v>
      </c>
      <c r="K16" s="329">
        <f t="shared" si="3"/>
        <v>1</v>
      </c>
      <c r="L16" s="329">
        <f t="shared" si="3"/>
        <v>1</v>
      </c>
      <c r="M16" s="329">
        <f t="shared" si="3"/>
        <v>1</v>
      </c>
      <c r="N16" s="329">
        <f t="shared" si="3"/>
        <v>1</v>
      </c>
      <c r="O16" s="329">
        <f t="shared" si="3"/>
        <v>1</v>
      </c>
      <c r="P16" s="329">
        <f t="shared" si="3"/>
        <v>1</v>
      </c>
      <c r="Q16" s="330">
        <f t="shared" si="3"/>
        <v>1</v>
      </c>
    </row>
    <row r="17" spans="4:17">
      <c r="D17" s="304" t="s">
        <v>313</v>
      </c>
      <c r="E17" s="310" t="s">
        <v>314</v>
      </c>
      <c r="F17" s="306" t="s">
        <v>276</v>
      </c>
      <c r="G17" s="316"/>
      <c r="H17" s="317"/>
      <c r="I17" s="317"/>
      <c r="J17" s="317"/>
      <c r="K17" s="317"/>
      <c r="L17" s="317"/>
      <c r="M17" s="317"/>
      <c r="N17" s="317"/>
      <c r="O17" s="317"/>
      <c r="P17" s="331"/>
      <c r="Q17" s="332"/>
    </row>
    <row r="18" spans="4:17">
      <c r="D18" s="333" t="s">
        <v>315</v>
      </c>
      <c r="E18" s="333"/>
      <c r="F18" s="333"/>
      <c r="G18" s="334"/>
      <c r="H18" s="335"/>
      <c r="I18" s="336"/>
      <c r="J18" s="336"/>
      <c r="K18" s="336"/>
      <c r="L18" s="336"/>
      <c r="M18" s="336"/>
      <c r="N18" s="336"/>
      <c r="O18" s="336"/>
      <c r="P18" s="336"/>
      <c r="Q18" s="337"/>
    </row>
    <row r="19" spans="4:17">
      <c r="D19" s="304" t="s">
        <v>316</v>
      </c>
      <c r="E19" s="338" t="s">
        <v>317</v>
      </c>
      <c r="F19" s="339" t="s">
        <v>318</v>
      </c>
      <c r="G19" s="340">
        <f>SUM(G20:G21)</f>
        <v>0</v>
      </c>
      <c r="H19" s="341">
        <f>SUM(H20:H21)</f>
        <v>0</v>
      </c>
      <c r="I19" s="342"/>
      <c r="J19" s="342"/>
      <c r="K19" s="342"/>
      <c r="L19" s="342"/>
      <c r="M19" s="342"/>
      <c r="N19" s="342"/>
      <c r="O19" s="342"/>
      <c r="P19" s="342"/>
      <c r="Q19" s="343"/>
    </row>
    <row r="20" spans="4:17" ht="22.5">
      <c r="D20" s="304" t="s">
        <v>319</v>
      </c>
      <c r="E20" s="344" t="s">
        <v>320</v>
      </c>
      <c r="F20" s="339" t="s">
        <v>318</v>
      </c>
      <c r="G20" s="345"/>
      <c r="H20" s="346"/>
      <c r="I20" s="347"/>
      <c r="J20" s="347"/>
      <c r="K20" s="347"/>
      <c r="L20" s="347"/>
      <c r="M20" s="347"/>
      <c r="N20" s="347"/>
      <c r="O20" s="347"/>
      <c r="P20" s="347"/>
      <c r="Q20" s="348"/>
    </row>
    <row r="21" spans="4:17" ht="45">
      <c r="D21" s="304" t="s">
        <v>321</v>
      </c>
      <c r="E21" s="344" t="s">
        <v>322</v>
      </c>
      <c r="F21" s="339" t="s">
        <v>318</v>
      </c>
      <c r="G21" s="345"/>
      <c r="H21" s="346"/>
      <c r="I21" s="347"/>
      <c r="J21" s="347"/>
      <c r="K21" s="347"/>
      <c r="L21" s="347"/>
      <c r="M21" s="347"/>
      <c r="N21" s="347"/>
      <c r="O21" s="347"/>
      <c r="P21" s="347"/>
      <c r="Q21" s="348"/>
    </row>
    <row r="22" spans="4:17">
      <c r="D22" s="304" t="s">
        <v>323</v>
      </c>
      <c r="E22" s="338" t="s">
        <v>324</v>
      </c>
      <c r="F22" s="339" t="s">
        <v>318</v>
      </c>
      <c r="G22" s="345"/>
      <c r="H22" s="346"/>
      <c r="I22" s="347"/>
      <c r="J22" s="347"/>
      <c r="K22" s="347"/>
      <c r="L22" s="347"/>
      <c r="M22" s="347"/>
      <c r="N22" s="347"/>
      <c r="O22" s="347"/>
      <c r="P22" s="347"/>
      <c r="Q22" s="348"/>
    </row>
    <row r="23" spans="4:17">
      <c r="D23" s="304" t="s">
        <v>325</v>
      </c>
      <c r="E23" s="338" t="s">
        <v>326</v>
      </c>
      <c r="F23" s="339" t="s">
        <v>318</v>
      </c>
      <c r="G23" s="340">
        <f>G24+G25+G32+G33+G34+G35+G36</f>
        <v>0</v>
      </c>
      <c r="H23" s="341">
        <f>H24+H25+H32+H33+H34+H35+H36</f>
        <v>0</v>
      </c>
      <c r="I23" s="342"/>
      <c r="J23" s="342"/>
      <c r="K23" s="342"/>
      <c r="L23" s="342"/>
      <c r="M23" s="342"/>
      <c r="N23" s="342"/>
      <c r="O23" s="342"/>
      <c r="P23" s="342"/>
      <c r="Q23" s="343"/>
    </row>
    <row r="24" spans="4:17" ht="11.25" customHeight="1">
      <c r="D24" s="304" t="s">
        <v>327</v>
      </c>
      <c r="E24" s="349" t="s">
        <v>328</v>
      </c>
      <c r="F24" s="339" t="s">
        <v>318</v>
      </c>
      <c r="G24" s="345"/>
      <c r="H24" s="346"/>
      <c r="I24" s="347"/>
      <c r="J24" s="347"/>
      <c r="K24" s="347"/>
      <c r="L24" s="347"/>
      <c r="M24" s="347"/>
      <c r="N24" s="347"/>
      <c r="O24" s="347"/>
      <c r="P24" s="347"/>
      <c r="Q24" s="348"/>
    </row>
    <row r="25" spans="4:17">
      <c r="D25" s="304" t="s">
        <v>329</v>
      </c>
      <c r="E25" s="350" t="s">
        <v>330</v>
      </c>
      <c r="F25" s="351" t="s">
        <v>318</v>
      </c>
      <c r="G25" s="352">
        <f>SUM(G26:G31)</f>
        <v>0</v>
      </c>
      <c r="H25" s="353">
        <f>SUM(H26:H31)</f>
        <v>0</v>
      </c>
      <c r="I25" s="347"/>
      <c r="J25" s="347"/>
      <c r="K25" s="347"/>
      <c r="L25" s="347"/>
      <c r="M25" s="347"/>
      <c r="N25" s="347"/>
      <c r="O25" s="347"/>
      <c r="P25" s="347"/>
      <c r="Q25" s="348"/>
    </row>
    <row r="26" spans="4:17">
      <c r="D26" s="304" t="s">
        <v>331</v>
      </c>
      <c r="E26" s="354" t="s">
        <v>332</v>
      </c>
      <c r="F26" s="339" t="s">
        <v>318</v>
      </c>
      <c r="G26" s="345"/>
      <c r="H26" s="346"/>
      <c r="I26" s="347"/>
      <c r="J26" s="347"/>
      <c r="K26" s="347"/>
      <c r="L26" s="347"/>
      <c r="M26" s="347"/>
      <c r="N26" s="347"/>
      <c r="O26" s="347"/>
      <c r="P26" s="347"/>
      <c r="Q26" s="348"/>
    </row>
    <row r="27" spans="4:17" ht="22.5">
      <c r="D27" s="304" t="s">
        <v>333</v>
      </c>
      <c r="E27" s="354" t="s">
        <v>334</v>
      </c>
      <c r="F27" s="339" t="s">
        <v>318</v>
      </c>
      <c r="G27" s="345"/>
      <c r="H27" s="346"/>
      <c r="I27" s="347"/>
      <c r="J27" s="347"/>
      <c r="K27" s="347"/>
      <c r="L27" s="347"/>
      <c r="M27" s="347"/>
      <c r="N27" s="347"/>
      <c r="O27" s="347"/>
      <c r="P27" s="347"/>
      <c r="Q27" s="348"/>
    </row>
    <row r="28" spans="4:17" ht="22.5">
      <c r="D28" s="304" t="s">
        <v>335</v>
      </c>
      <c r="E28" s="354" t="s">
        <v>336</v>
      </c>
      <c r="F28" s="339" t="s">
        <v>318</v>
      </c>
      <c r="G28" s="345"/>
      <c r="H28" s="346"/>
      <c r="I28" s="347"/>
      <c r="J28" s="347"/>
      <c r="K28" s="347"/>
      <c r="L28" s="347"/>
      <c r="M28" s="347"/>
      <c r="N28" s="347"/>
      <c r="O28" s="347"/>
      <c r="P28" s="347"/>
      <c r="Q28" s="348"/>
    </row>
    <row r="29" spans="4:17" ht="22.5">
      <c r="D29" s="304" t="s">
        <v>337</v>
      </c>
      <c r="E29" s="354" t="s">
        <v>338</v>
      </c>
      <c r="F29" s="339" t="s">
        <v>318</v>
      </c>
      <c r="G29" s="345"/>
      <c r="H29" s="346"/>
      <c r="I29" s="347"/>
      <c r="J29" s="347"/>
      <c r="K29" s="347"/>
      <c r="L29" s="347"/>
      <c r="M29" s="347"/>
      <c r="N29" s="347"/>
      <c r="O29" s="347"/>
      <c r="P29" s="347"/>
      <c r="Q29" s="348"/>
    </row>
    <row r="30" spans="4:17">
      <c r="D30" s="304" t="s">
        <v>339</v>
      </c>
      <c r="E30" s="354" t="s">
        <v>340</v>
      </c>
      <c r="F30" s="339" t="s">
        <v>318</v>
      </c>
      <c r="G30" s="345"/>
      <c r="H30" s="346"/>
      <c r="I30" s="347"/>
      <c r="J30" s="347"/>
      <c r="K30" s="347"/>
      <c r="L30" s="347"/>
      <c r="M30" s="347"/>
      <c r="N30" s="347"/>
      <c r="O30" s="347"/>
      <c r="P30" s="347"/>
      <c r="Q30" s="348"/>
    </row>
    <row r="31" spans="4:17">
      <c r="D31" s="304" t="s">
        <v>341</v>
      </c>
      <c r="E31" s="355" t="s">
        <v>342</v>
      </c>
      <c r="F31" s="339" t="s">
        <v>318</v>
      </c>
      <c r="G31" s="345"/>
      <c r="H31" s="346"/>
      <c r="I31" s="347"/>
      <c r="J31" s="347"/>
      <c r="K31" s="347"/>
      <c r="L31" s="347"/>
      <c r="M31" s="347"/>
      <c r="N31" s="347"/>
      <c r="O31" s="347"/>
      <c r="P31" s="347"/>
      <c r="Q31" s="348"/>
    </row>
    <row r="32" spans="4:17">
      <c r="D32" s="304" t="s">
        <v>343</v>
      </c>
      <c r="E32" s="344" t="s">
        <v>344</v>
      </c>
      <c r="F32" s="339" t="s">
        <v>318</v>
      </c>
      <c r="G32" s="345"/>
      <c r="H32" s="346"/>
      <c r="I32" s="347"/>
      <c r="J32" s="347"/>
      <c r="K32" s="347"/>
      <c r="L32" s="347"/>
      <c r="M32" s="347"/>
      <c r="N32" s="347"/>
      <c r="O32" s="347"/>
      <c r="P32" s="347"/>
      <c r="Q32" s="348"/>
    </row>
    <row r="33" spans="4:20">
      <c r="D33" s="304" t="s">
        <v>345</v>
      </c>
      <c r="E33" s="344" t="s">
        <v>346</v>
      </c>
      <c r="F33" s="339" t="s">
        <v>318</v>
      </c>
      <c r="G33" s="345"/>
      <c r="H33" s="346"/>
      <c r="I33" s="347"/>
      <c r="J33" s="347"/>
      <c r="K33" s="347"/>
      <c r="L33" s="347"/>
      <c r="M33" s="347"/>
      <c r="N33" s="347"/>
      <c r="O33" s="347"/>
      <c r="P33" s="347"/>
      <c r="Q33" s="348"/>
    </row>
    <row r="34" spans="4:20" ht="22.5">
      <c r="D34" s="304" t="s">
        <v>347</v>
      </c>
      <c r="E34" s="344" t="s">
        <v>348</v>
      </c>
      <c r="F34" s="339" t="s">
        <v>318</v>
      </c>
      <c r="G34" s="345"/>
      <c r="H34" s="346"/>
      <c r="I34" s="347"/>
      <c r="J34" s="347"/>
      <c r="K34" s="347"/>
      <c r="L34" s="347"/>
      <c r="M34" s="347"/>
      <c r="N34" s="347"/>
      <c r="O34" s="347"/>
      <c r="P34" s="347"/>
      <c r="Q34" s="348"/>
      <c r="R34" s="356"/>
      <c r="S34" s="356"/>
      <c r="T34" s="356"/>
    </row>
    <row r="35" spans="4:20">
      <c r="D35" s="304" t="s">
        <v>349</v>
      </c>
      <c r="E35" s="344" t="s">
        <v>350</v>
      </c>
      <c r="F35" s="339" t="s">
        <v>318</v>
      </c>
      <c r="G35" s="345"/>
      <c r="H35" s="346"/>
      <c r="I35" s="347"/>
      <c r="J35" s="347"/>
      <c r="K35" s="347"/>
      <c r="L35" s="347"/>
      <c r="M35" s="347"/>
      <c r="N35" s="347"/>
      <c r="O35" s="347"/>
      <c r="P35" s="347"/>
      <c r="Q35" s="348"/>
      <c r="R35" s="356"/>
      <c r="S35" s="356"/>
      <c r="T35" s="356"/>
    </row>
    <row r="36" spans="4:20">
      <c r="D36" s="304" t="s">
        <v>351</v>
      </c>
      <c r="E36" s="344" t="s">
        <v>352</v>
      </c>
      <c r="F36" s="339" t="s">
        <v>318</v>
      </c>
      <c r="G36" s="345"/>
      <c r="H36" s="346"/>
      <c r="I36" s="347"/>
      <c r="J36" s="347"/>
      <c r="K36" s="347"/>
      <c r="L36" s="347"/>
      <c r="M36" s="347"/>
      <c r="N36" s="347"/>
      <c r="O36" s="347"/>
      <c r="P36" s="347"/>
      <c r="Q36" s="348"/>
      <c r="R36" s="356"/>
      <c r="S36" s="356"/>
      <c r="T36" s="356"/>
    </row>
    <row r="37" spans="4:20">
      <c r="D37" s="357"/>
      <c r="E37" s="358" t="s">
        <v>353</v>
      </c>
      <c r="F37" s="359" t="s">
        <v>318</v>
      </c>
      <c r="G37" s="360">
        <f>G23+G22+G19</f>
        <v>0</v>
      </c>
      <c r="H37" s="361">
        <f>H19+H22+H23</f>
        <v>0</v>
      </c>
      <c r="I37" s="361">
        <f t="shared" ref="I37:N37" si="4">H38*I16</f>
        <v>0</v>
      </c>
      <c r="J37" s="361">
        <f t="shared" si="4"/>
        <v>0</v>
      </c>
      <c r="K37" s="361">
        <f t="shared" si="4"/>
        <v>0</v>
      </c>
      <c r="L37" s="361">
        <f t="shared" si="4"/>
        <v>0</v>
      </c>
      <c r="M37" s="361">
        <f t="shared" si="4"/>
        <v>0</v>
      </c>
      <c r="N37" s="361">
        <f t="shared" si="4"/>
        <v>0</v>
      </c>
      <c r="O37" s="361">
        <f>N37*O16</f>
        <v>0</v>
      </c>
      <c r="P37" s="361">
        <f>O37*P16</f>
        <v>0</v>
      </c>
      <c r="Q37" s="362">
        <f>P37*Q16</f>
        <v>0</v>
      </c>
      <c r="R37" s="356"/>
      <c r="S37" s="356"/>
      <c r="T37" s="356"/>
    </row>
    <row r="38" spans="4:20">
      <c r="D38" s="357"/>
      <c r="E38" s="358" t="s">
        <v>354</v>
      </c>
      <c r="F38" s="359" t="s">
        <v>318</v>
      </c>
      <c r="G38" s="363"/>
      <c r="H38" s="317"/>
      <c r="I38" s="317"/>
      <c r="J38" s="317"/>
      <c r="K38" s="317"/>
      <c r="L38" s="317"/>
      <c r="M38" s="317"/>
      <c r="N38" s="317"/>
      <c r="O38" s="317"/>
      <c r="P38" s="331"/>
      <c r="Q38" s="364"/>
      <c r="R38" s="356"/>
      <c r="S38" s="356"/>
      <c r="T38" s="356"/>
    </row>
    <row r="39" spans="4:20">
      <c r="D39" s="365"/>
      <c r="E39" s="366"/>
      <c r="F39" s="366"/>
      <c r="R39" s="356"/>
      <c r="S39" s="356"/>
      <c r="T39" s="356"/>
    </row>
    <row r="40" spans="4:20">
      <c r="D40" s="367" t="s">
        <v>355</v>
      </c>
      <c r="E40" s="368"/>
      <c r="F40" s="368"/>
      <c r="G40" s="369"/>
      <c r="H40" s="370"/>
      <c r="I40" s="370"/>
      <c r="J40" s="370"/>
      <c r="K40" s="370"/>
      <c r="L40" s="370"/>
      <c r="M40" s="370"/>
      <c r="N40" s="370"/>
      <c r="O40" s="370"/>
      <c r="P40" s="370"/>
      <c r="Q40" s="371"/>
      <c r="R40" s="356"/>
      <c r="S40" s="356"/>
      <c r="T40" s="356"/>
    </row>
    <row r="41" spans="4:20">
      <c r="D41" s="372" t="s">
        <v>356</v>
      </c>
      <c r="E41" s="373" t="s">
        <v>357</v>
      </c>
      <c r="F41" s="339" t="s">
        <v>318</v>
      </c>
      <c r="G41" s="374"/>
      <c r="H41" s="375"/>
      <c r="I41" s="375"/>
      <c r="J41" s="375"/>
      <c r="K41" s="375"/>
      <c r="L41" s="375"/>
      <c r="M41" s="375"/>
      <c r="N41" s="375"/>
      <c r="O41" s="375"/>
      <c r="P41" s="375"/>
      <c r="Q41" s="376"/>
      <c r="R41" s="356"/>
      <c r="S41" s="356"/>
      <c r="T41" s="356"/>
    </row>
    <row r="42" spans="4:20">
      <c r="D42" s="372" t="s">
        <v>358</v>
      </c>
      <c r="E42" s="377" t="s">
        <v>359</v>
      </c>
      <c r="F42" s="378" t="s">
        <v>318</v>
      </c>
      <c r="G42" s="374"/>
      <c r="H42" s="375"/>
      <c r="I42" s="375"/>
      <c r="J42" s="375"/>
      <c r="K42" s="375"/>
      <c r="L42" s="375"/>
      <c r="M42" s="375"/>
      <c r="N42" s="375"/>
      <c r="O42" s="375"/>
      <c r="P42" s="375"/>
      <c r="Q42" s="376"/>
      <c r="R42" s="356"/>
      <c r="S42" s="356"/>
      <c r="T42" s="356"/>
    </row>
    <row r="43" spans="4:20">
      <c r="D43" s="372" t="s">
        <v>360</v>
      </c>
      <c r="E43" s="377" t="s">
        <v>361</v>
      </c>
      <c r="F43" s="378" t="s">
        <v>318</v>
      </c>
      <c r="G43" s="379">
        <f t="shared" ref="G43:Q43" si="5">SUM(G44:G46)</f>
        <v>0</v>
      </c>
      <c r="H43" s="380">
        <f t="shared" si="5"/>
        <v>0</v>
      </c>
      <c r="I43" s="380">
        <f t="shared" si="5"/>
        <v>0</v>
      </c>
      <c r="J43" s="380">
        <f t="shared" si="5"/>
        <v>0</v>
      </c>
      <c r="K43" s="380">
        <f t="shared" si="5"/>
        <v>0</v>
      </c>
      <c r="L43" s="380">
        <f t="shared" si="5"/>
        <v>0</v>
      </c>
      <c r="M43" s="380">
        <f t="shared" si="5"/>
        <v>0</v>
      </c>
      <c r="N43" s="380">
        <f t="shared" si="5"/>
        <v>0</v>
      </c>
      <c r="O43" s="380">
        <f t="shared" si="5"/>
        <v>0</v>
      </c>
      <c r="P43" s="380">
        <f t="shared" si="5"/>
        <v>0</v>
      </c>
      <c r="Q43" s="381">
        <f t="shared" si="5"/>
        <v>0</v>
      </c>
    </row>
    <row r="44" spans="4:20">
      <c r="D44" s="382" t="s">
        <v>362</v>
      </c>
      <c r="E44" s="383" t="s">
        <v>363</v>
      </c>
      <c r="F44" s="378" t="s">
        <v>318</v>
      </c>
      <c r="G44" s="374"/>
      <c r="H44" s="375"/>
      <c r="I44" s="375"/>
      <c r="J44" s="375"/>
      <c r="K44" s="375"/>
      <c r="L44" s="375"/>
      <c r="M44" s="375"/>
      <c r="N44" s="375"/>
      <c r="O44" s="375"/>
      <c r="P44" s="375"/>
      <c r="Q44" s="376"/>
    </row>
    <row r="45" spans="4:20">
      <c r="D45" s="382" t="s">
        <v>364</v>
      </c>
      <c r="E45" s="384" t="s">
        <v>365</v>
      </c>
      <c r="F45" s="378" t="s">
        <v>318</v>
      </c>
      <c r="G45" s="374"/>
      <c r="H45" s="375"/>
      <c r="I45" s="375"/>
      <c r="J45" s="375"/>
      <c r="K45" s="375"/>
      <c r="L45" s="375"/>
      <c r="M45" s="375"/>
      <c r="N45" s="375"/>
      <c r="O45" s="375"/>
      <c r="P45" s="375"/>
      <c r="Q45" s="376"/>
    </row>
    <row r="46" spans="4:20">
      <c r="D46" s="382" t="s">
        <v>366</v>
      </c>
      <c r="E46" s="384" t="s">
        <v>367</v>
      </c>
      <c r="F46" s="378" t="s">
        <v>318</v>
      </c>
      <c r="G46" s="374"/>
      <c r="H46" s="375"/>
      <c r="I46" s="375"/>
      <c r="J46" s="375"/>
      <c r="K46" s="375"/>
      <c r="L46" s="375"/>
      <c r="M46" s="375"/>
      <c r="N46" s="375"/>
      <c r="O46" s="375"/>
      <c r="P46" s="375"/>
      <c r="Q46" s="376"/>
    </row>
    <row r="47" spans="4:20" ht="22.5">
      <c r="D47" s="382" t="s">
        <v>368</v>
      </c>
      <c r="E47" s="385" t="s">
        <v>369</v>
      </c>
      <c r="F47" s="378" t="s">
        <v>318</v>
      </c>
      <c r="G47" s="374"/>
      <c r="H47" s="375"/>
      <c r="I47" s="375"/>
      <c r="J47" s="375"/>
      <c r="K47" s="375"/>
      <c r="L47" s="375"/>
      <c r="M47" s="375"/>
      <c r="N47" s="375"/>
      <c r="O47" s="375"/>
      <c r="P47" s="375"/>
      <c r="Q47" s="376"/>
    </row>
    <row r="48" spans="4:20" ht="12.75">
      <c r="D48" s="386" t="s">
        <v>370</v>
      </c>
      <c r="E48" s="385" t="s">
        <v>371</v>
      </c>
      <c r="F48" s="378" t="s">
        <v>318</v>
      </c>
      <c r="G48" s="374"/>
      <c r="H48" s="375"/>
      <c r="I48" s="375"/>
      <c r="J48" s="375"/>
      <c r="K48" s="375"/>
      <c r="L48" s="375"/>
      <c r="M48" s="375"/>
      <c r="N48" s="375"/>
      <c r="O48" s="375"/>
      <c r="P48" s="375"/>
      <c r="Q48" s="376"/>
    </row>
    <row r="49" spans="4:18" ht="33.75">
      <c r="D49" s="382" t="s">
        <v>372</v>
      </c>
      <c r="E49" s="385" t="s">
        <v>373</v>
      </c>
      <c r="F49" s="378" t="s">
        <v>318</v>
      </c>
      <c r="G49" s="374"/>
      <c r="H49" s="375"/>
      <c r="I49" s="375"/>
      <c r="J49" s="375"/>
      <c r="K49" s="375"/>
      <c r="L49" s="375"/>
      <c r="M49" s="375"/>
      <c r="N49" s="375"/>
      <c r="O49" s="375"/>
      <c r="P49" s="375"/>
      <c r="Q49" s="376"/>
    </row>
    <row r="50" spans="4:18" ht="12.75">
      <c r="D50" s="386" t="s">
        <v>374</v>
      </c>
      <c r="E50" s="385" t="s">
        <v>375</v>
      </c>
      <c r="F50" s="378" t="s">
        <v>318</v>
      </c>
      <c r="G50" s="374"/>
      <c r="H50" s="375"/>
      <c r="I50" s="375"/>
      <c r="J50" s="375"/>
      <c r="K50" s="375"/>
      <c r="L50" s="375"/>
      <c r="M50" s="375"/>
      <c r="N50" s="375"/>
      <c r="O50" s="375"/>
      <c r="P50" s="375"/>
      <c r="Q50" s="376"/>
    </row>
    <row r="51" spans="4:18">
      <c r="D51" s="387"/>
      <c r="E51" s="388" t="s">
        <v>376</v>
      </c>
      <c r="F51" s="359" t="s">
        <v>318</v>
      </c>
      <c r="G51" s="360">
        <f t="shared" ref="G51:Q51" si="6">G41+G42+G43+G47+IF(G48="-",0,G48)+G49+G50</f>
        <v>0</v>
      </c>
      <c r="H51" s="361">
        <f t="shared" si="6"/>
        <v>0</v>
      </c>
      <c r="I51" s="361">
        <f t="shared" si="6"/>
        <v>0</v>
      </c>
      <c r="J51" s="361">
        <f t="shared" si="6"/>
        <v>0</v>
      </c>
      <c r="K51" s="361">
        <f t="shared" si="6"/>
        <v>0</v>
      </c>
      <c r="L51" s="361">
        <f t="shared" si="6"/>
        <v>0</v>
      </c>
      <c r="M51" s="361">
        <f t="shared" si="6"/>
        <v>0</v>
      </c>
      <c r="N51" s="361">
        <f t="shared" si="6"/>
        <v>0</v>
      </c>
      <c r="O51" s="361">
        <f t="shared" si="6"/>
        <v>0</v>
      </c>
      <c r="P51" s="361">
        <f t="shared" si="6"/>
        <v>0</v>
      </c>
      <c r="Q51" s="362">
        <f t="shared" si="6"/>
        <v>0</v>
      </c>
    </row>
    <row r="52" spans="4:18">
      <c r="D52" s="366"/>
      <c r="E52" s="366"/>
      <c r="F52" s="366"/>
      <c r="R52" s="303"/>
    </row>
  </sheetData>
  <mergeCells count="4">
    <mergeCell ref="D3:F3"/>
    <mergeCell ref="G3:Q3"/>
    <mergeCell ref="G4:Q4"/>
    <mergeCell ref="D6:E6"/>
  </mergeCells>
  <dataValidations count="1">
    <dataValidation type="textLength" operator="lessThanOrEqual" allowBlank="1" showInputMessage="1" showErrorMessage="1" errorTitle="Ошибка" error="Допускается ввод не более 900 символов!" sqref="G65588:Q65588 JC65588:JM65588 SY65588:TI65588 ACU65588:ADE65588 AMQ65588:ANA65588 AWM65588:AWW65588 BGI65588:BGS65588 BQE65588:BQO65588 CAA65588:CAK65588 CJW65588:CKG65588 CTS65588:CUC65588 DDO65588:DDY65588 DNK65588:DNU65588 DXG65588:DXQ65588 EHC65588:EHM65588 EQY65588:ERI65588 FAU65588:FBE65588 FKQ65588:FLA65588 FUM65588:FUW65588 GEI65588:GES65588 GOE65588:GOO65588 GYA65588:GYK65588 HHW65588:HIG65588 HRS65588:HSC65588 IBO65588:IBY65588 ILK65588:ILU65588 IVG65588:IVQ65588 JFC65588:JFM65588 JOY65588:JPI65588 JYU65588:JZE65588 KIQ65588:KJA65588 KSM65588:KSW65588 LCI65588:LCS65588 LME65588:LMO65588 LWA65588:LWK65588 MFW65588:MGG65588 MPS65588:MQC65588 MZO65588:MZY65588 NJK65588:NJU65588 NTG65588:NTQ65588 ODC65588:ODM65588 OMY65588:ONI65588 OWU65588:OXE65588 PGQ65588:PHA65588 PQM65588:PQW65588 QAI65588:QAS65588 QKE65588:QKO65588 QUA65588:QUK65588 RDW65588:REG65588 RNS65588:ROC65588 RXO65588:RXY65588 SHK65588:SHU65588 SRG65588:SRQ65588 TBC65588:TBM65588 TKY65588:TLI65588 TUU65588:TVE65588 UEQ65588:UFA65588 UOM65588:UOW65588 UYI65588:UYS65588 VIE65588:VIO65588 VSA65588:VSK65588 WBW65588:WCG65588 WLS65588:WMC65588 WVO65588:WVY65588 G131124:Q131124 JC131124:JM131124 SY131124:TI131124 ACU131124:ADE131124 AMQ131124:ANA131124 AWM131124:AWW131124 BGI131124:BGS131124 BQE131124:BQO131124 CAA131124:CAK131124 CJW131124:CKG131124 CTS131124:CUC131124 DDO131124:DDY131124 DNK131124:DNU131124 DXG131124:DXQ131124 EHC131124:EHM131124 EQY131124:ERI131124 FAU131124:FBE131124 FKQ131124:FLA131124 FUM131124:FUW131124 GEI131124:GES131124 GOE131124:GOO131124 GYA131124:GYK131124 HHW131124:HIG131124 HRS131124:HSC131124 IBO131124:IBY131124 ILK131124:ILU131124 IVG131124:IVQ131124 JFC131124:JFM131124 JOY131124:JPI131124 JYU131124:JZE131124 KIQ131124:KJA131124 KSM131124:KSW131124 LCI131124:LCS131124 LME131124:LMO131124 LWA131124:LWK131124 MFW131124:MGG131124 MPS131124:MQC131124 MZO131124:MZY131124 NJK131124:NJU131124 NTG131124:NTQ131124 ODC131124:ODM131124 OMY131124:ONI131124 OWU131124:OXE131124 PGQ131124:PHA131124 PQM131124:PQW131124 QAI131124:QAS131124 QKE131124:QKO131124 QUA131124:QUK131124 RDW131124:REG131124 RNS131124:ROC131124 RXO131124:RXY131124 SHK131124:SHU131124 SRG131124:SRQ131124 TBC131124:TBM131124 TKY131124:TLI131124 TUU131124:TVE131124 UEQ131124:UFA131124 UOM131124:UOW131124 UYI131124:UYS131124 VIE131124:VIO131124 VSA131124:VSK131124 WBW131124:WCG131124 WLS131124:WMC131124 WVO131124:WVY131124 G196660:Q196660 JC196660:JM196660 SY196660:TI196660 ACU196660:ADE196660 AMQ196660:ANA196660 AWM196660:AWW196660 BGI196660:BGS196660 BQE196660:BQO196660 CAA196660:CAK196660 CJW196660:CKG196660 CTS196660:CUC196660 DDO196660:DDY196660 DNK196660:DNU196660 DXG196660:DXQ196660 EHC196660:EHM196660 EQY196660:ERI196660 FAU196660:FBE196660 FKQ196660:FLA196660 FUM196660:FUW196660 GEI196660:GES196660 GOE196660:GOO196660 GYA196660:GYK196660 HHW196660:HIG196660 HRS196660:HSC196660 IBO196660:IBY196660 ILK196660:ILU196660 IVG196660:IVQ196660 JFC196660:JFM196660 JOY196660:JPI196660 JYU196660:JZE196660 KIQ196660:KJA196660 KSM196660:KSW196660 LCI196660:LCS196660 LME196660:LMO196660 LWA196660:LWK196660 MFW196660:MGG196660 MPS196660:MQC196660 MZO196660:MZY196660 NJK196660:NJU196660 NTG196660:NTQ196660 ODC196660:ODM196660 OMY196660:ONI196660 OWU196660:OXE196660 PGQ196660:PHA196660 PQM196660:PQW196660 QAI196660:QAS196660 QKE196660:QKO196660 QUA196660:QUK196660 RDW196660:REG196660 RNS196660:ROC196660 RXO196660:RXY196660 SHK196660:SHU196660 SRG196660:SRQ196660 TBC196660:TBM196660 TKY196660:TLI196660 TUU196660:TVE196660 UEQ196660:UFA196660 UOM196660:UOW196660 UYI196660:UYS196660 VIE196660:VIO196660 VSA196660:VSK196660 WBW196660:WCG196660 WLS196660:WMC196660 WVO196660:WVY196660 G262196:Q262196 JC262196:JM262196 SY262196:TI262196 ACU262196:ADE262196 AMQ262196:ANA262196 AWM262196:AWW262196 BGI262196:BGS262196 BQE262196:BQO262196 CAA262196:CAK262196 CJW262196:CKG262196 CTS262196:CUC262196 DDO262196:DDY262196 DNK262196:DNU262196 DXG262196:DXQ262196 EHC262196:EHM262196 EQY262196:ERI262196 FAU262196:FBE262196 FKQ262196:FLA262196 FUM262196:FUW262196 GEI262196:GES262196 GOE262196:GOO262196 GYA262196:GYK262196 HHW262196:HIG262196 HRS262196:HSC262196 IBO262196:IBY262196 ILK262196:ILU262196 IVG262196:IVQ262196 JFC262196:JFM262196 JOY262196:JPI262196 JYU262196:JZE262196 KIQ262196:KJA262196 KSM262196:KSW262196 LCI262196:LCS262196 LME262196:LMO262196 LWA262196:LWK262196 MFW262196:MGG262196 MPS262196:MQC262196 MZO262196:MZY262196 NJK262196:NJU262196 NTG262196:NTQ262196 ODC262196:ODM262196 OMY262196:ONI262196 OWU262196:OXE262196 PGQ262196:PHA262196 PQM262196:PQW262196 QAI262196:QAS262196 QKE262196:QKO262196 QUA262196:QUK262196 RDW262196:REG262196 RNS262196:ROC262196 RXO262196:RXY262196 SHK262196:SHU262196 SRG262196:SRQ262196 TBC262196:TBM262196 TKY262196:TLI262196 TUU262196:TVE262196 UEQ262196:UFA262196 UOM262196:UOW262196 UYI262196:UYS262196 VIE262196:VIO262196 VSA262196:VSK262196 WBW262196:WCG262196 WLS262196:WMC262196 WVO262196:WVY262196 G327732:Q327732 JC327732:JM327732 SY327732:TI327732 ACU327732:ADE327732 AMQ327732:ANA327732 AWM327732:AWW327732 BGI327732:BGS327732 BQE327732:BQO327732 CAA327732:CAK327732 CJW327732:CKG327732 CTS327732:CUC327732 DDO327732:DDY327732 DNK327732:DNU327732 DXG327732:DXQ327732 EHC327732:EHM327732 EQY327732:ERI327732 FAU327732:FBE327732 FKQ327732:FLA327732 FUM327732:FUW327732 GEI327732:GES327732 GOE327732:GOO327732 GYA327732:GYK327732 HHW327732:HIG327732 HRS327732:HSC327732 IBO327732:IBY327732 ILK327732:ILU327732 IVG327732:IVQ327732 JFC327732:JFM327732 JOY327732:JPI327732 JYU327732:JZE327732 KIQ327732:KJA327732 KSM327732:KSW327732 LCI327732:LCS327732 LME327732:LMO327732 LWA327732:LWK327732 MFW327732:MGG327732 MPS327732:MQC327732 MZO327732:MZY327732 NJK327732:NJU327732 NTG327732:NTQ327732 ODC327732:ODM327732 OMY327732:ONI327732 OWU327732:OXE327732 PGQ327732:PHA327732 PQM327732:PQW327732 QAI327732:QAS327732 QKE327732:QKO327732 QUA327732:QUK327732 RDW327732:REG327732 RNS327732:ROC327732 RXO327732:RXY327732 SHK327732:SHU327732 SRG327732:SRQ327732 TBC327732:TBM327732 TKY327732:TLI327732 TUU327732:TVE327732 UEQ327732:UFA327732 UOM327732:UOW327732 UYI327732:UYS327732 VIE327732:VIO327732 VSA327732:VSK327732 WBW327732:WCG327732 WLS327732:WMC327732 WVO327732:WVY327732 G393268:Q393268 JC393268:JM393268 SY393268:TI393268 ACU393268:ADE393268 AMQ393268:ANA393268 AWM393268:AWW393268 BGI393268:BGS393268 BQE393268:BQO393268 CAA393268:CAK393268 CJW393268:CKG393268 CTS393268:CUC393268 DDO393268:DDY393268 DNK393268:DNU393268 DXG393268:DXQ393268 EHC393268:EHM393268 EQY393268:ERI393268 FAU393268:FBE393268 FKQ393268:FLA393268 FUM393268:FUW393268 GEI393268:GES393268 GOE393268:GOO393268 GYA393268:GYK393268 HHW393268:HIG393268 HRS393268:HSC393268 IBO393268:IBY393268 ILK393268:ILU393268 IVG393268:IVQ393268 JFC393268:JFM393268 JOY393268:JPI393268 JYU393268:JZE393268 KIQ393268:KJA393268 KSM393268:KSW393268 LCI393268:LCS393268 LME393268:LMO393268 LWA393268:LWK393268 MFW393268:MGG393268 MPS393268:MQC393268 MZO393268:MZY393268 NJK393268:NJU393268 NTG393268:NTQ393268 ODC393268:ODM393268 OMY393268:ONI393268 OWU393268:OXE393268 PGQ393268:PHA393268 PQM393268:PQW393268 QAI393268:QAS393268 QKE393268:QKO393268 QUA393268:QUK393268 RDW393268:REG393268 RNS393268:ROC393268 RXO393268:RXY393268 SHK393268:SHU393268 SRG393268:SRQ393268 TBC393268:TBM393268 TKY393268:TLI393268 TUU393268:TVE393268 UEQ393268:UFA393268 UOM393268:UOW393268 UYI393268:UYS393268 VIE393268:VIO393268 VSA393268:VSK393268 WBW393268:WCG393268 WLS393268:WMC393268 WVO393268:WVY393268 G458804:Q458804 JC458804:JM458804 SY458804:TI458804 ACU458804:ADE458804 AMQ458804:ANA458804 AWM458804:AWW458804 BGI458804:BGS458804 BQE458804:BQO458804 CAA458804:CAK458804 CJW458804:CKG458804 CTS458804:CUC458804 DDO458804:DDY458804 DNK458804:DNU458804 DXG458804:DXQ458804 EHC458804:EHM458804 EQY458804:ERI458804 FAU458804:FBE458804 FKQ458804:FLA458804 FUM458804:FUW458804 GEI458804:GES458804 GOE458804:GOO458804 GYA458804:GYK458804 HHW458804:HIG458804 HRS458804:HSC458804 IBO458804:IBY458804 ILK458804:ILU458804 IVG458804:IVQ458804 JFC458804:JFM458804 JOY458804:JPI458804 JYU458804:JZE458804 KIQ458804:KJA458804 KSM458804:KSW458804 LCI458804:LCS458804 LME458804:LMO458804 LWA458804:LWK458804 MFW458804:MGG458804 MPS458804:MQC458804 MZO458804:MZY458804 NJK458804:NJU458804 NTG458804:NTQ458804 ODC458804:ODM458804 OMY458804:ONI458804 OWU458804:OXE458804 PGQ458804:PHA458804 PQM458804:PQW458804 QAI458804:QAS458804 QKE458804:QKO458804 QUA458804:QUK458804 RDW458804:REG458804 RNS458804:ROC458804 RXO458804:RXY458804 SHK458804:SHU458804 SRG458804:SRQ458804 TBC458804:TBM458804 TKY458804:TLI458804 TUU458804:TVE458804 UEQ458804:UFA458804 UOM458804:UOW458804 UYI458804:UYS458804 VIE458804:VIO458804 VSA458804:VSK458804 WBW458804:WCG458804 WLS458804:WMC458804 WVO458804:WVY458804 G524340:Q524340 JC524340:JM524340 SY524340:TI524340 ACU524340:ADE524340 AMQ524340:ANA524340 AWM524340:AWW524340 BGI524340:BGS524340 BQE524340:BQO524340 CAA524340:CAK524340 CJW524340:CKG524340 CTS524340:CUC524340 DDO524340:DDY524340 DNK524340:DNU524340 DXG524340:DXQ524340 EHC524340:EHM524340 EQY524340:ERI524340 FAU524340:FBE524340 FKQ524340:FLA524340 FUM524340:FUW524340 GEI524340:GES524340 GOE524340:GOO524340 GYA524340:GYK524340 HHW524340:HIG524340 HRS524340:HSC524340 IBO524340:IBY524340 ILK524340:ILU524340 IVG524340:IVQ524340 JFC524340:JFM524340 JOY524340:JPI524340 JYU524340:JZE524340 KIQ524340:KJA524340 KSM524340:KSW524340 LCI524340:LCS524340 LME524340:LMO524340 LWA524340:LWK524340 MFW524340:MGG524340 MPS524340:MQC524340 MZO524340:MZY524340 NJK524340:NJU524340 NTG524340:NTQ524340 ODC524340:ODM524340 OMY524340:ONI524340 OWU524340:OXE524340 PGQ524340:PHA524340 PQM524340:PQW524340 QAI524340:QAS524340 QKE524340:QKO524340 QUA524340:QUK524340 RDW524340:REG524340 RNS524340:ROC524340 RXO524340:RXY524340 SHK524340:SHU524340 SRG524340:SRQ524340 TBC524340:TBM524340 TKY524340:TLI524340 TUU524340:TVE524340 UEQ524340:UFA524340 UOM524340:UOW524340 UYI524340:UYS524340 VIE524340:VIO524340 VSA524340:VSK524340 WBW524340:WCG524340 WLS524340:WMC524340 WVO524340:WVY524340 G589876:Q589876 JC589876:JM589876 SY589876:TI589876 ACU589876:ADE589876 AMQ589876:ANA589876 AWM589876:AWW589876 BGI589876:BGS589876 BQE589876:BQO589876 CAA589876:CAK589876 CJW589876:CKG589876 CTS589876:CUC589876 DDO589876:DDY589876 DNK589876:DNU589876 DXG589876:DXQ589876 EHC589876:EHM589876 EQY589876:ERI589876 FAU589876:FBE589876 FKQ589876:FLA589876 FUM589876:FUW589876 GEI589876:GES589876 GOE589876:GOO589876 GYA589876:GYK589876 HHW589876:HIG589876 HRS589876:HSC589876 IBO589876:IBY589876 ILK589876:ILU589876 IVG589876:IVQ589876 JFC589876:JFM589876 JOY589876:JPI589876 JYU589876:JZE589876 KIQ589876:KJA589876 KSM589876:KSW589876 LCI589876:LCS589876 LME589876:LMO589876 LWA589876:LWK589876 MFW589876:MGG589876 MPS589876:MQC589876 MZO589876:MZY589876 NJK589876:NJU589876 NTG589876:NTQ589876 ODC589876:ODM589876 OMY589876:ONI589876 OWU589876:OXE589876 PGQ589876:PHA589876 PQM589876:PQW589876 QAI589876:QAS589876 QKE589876:QKO589876 QUA589876:QUK589876 RDW589876:REG589876 RNS589876:ROC589876 RXO589876:RXY589876 SHK589876:SHU589876 SRG589876:SRQ589876 TBC589876:TBM589876 TKY589876:TLI589876 TUU589876:TVE589876 UEQ589876:UFA589876 UOM589876:UOW589876 UYI589876:UYS589876 VIE589876:VIO589876 VSA589876:VSK589876 WBW589876:WCG589876 WLS589876:WMC589876 WVO589876:WVY589876 G655412:Q655412 JC655412:JM655412 SY655412:TI655412 ACU655412:ADE655412 AMQ655412:ANA655412 AWM655412:AWW655412 BGI655412:BGS655412 BQE655412:BQO655412 CAA655412:CAK655412 CJW655412:CKG655412 CTS655412:CUC655412 DDO655412:DDY655412 DNK655412:DNU655412 DXG655412:DXQ655412 EHC655412:EHM655412 EQY655412:ERI655412 FAU655412:FBE655412 FKQ655412:FLA655412 FUM655412:FUW655412 GEI655412:GES655412 GOE655412:GOO655412 GYA655412:GYK655412 HHW655412:HIG655412 HRS655412:HSC655412 IBO655412:IBY655412 ILK655412:ILU655412 IVG655412:IVQ655412 JFC655412:JFM655412 JOY655412:JPI655412 JYU655412:JZE655412 KIQ655412:KJA655412 KSM655412:KSW655412 LCI655412:LCS655412 LME655412:LMO655412 LWA655412:LWK655412 MFW655412:MGG655412 MPS655412:MQC655412 MZO655412:MZY655412 NJK655412:NJU655412 NTG655412:NTQ655412 ODC655412:ODM655412 OMY655412:ONI655412 OWU655412:OXE655412 PGQ655412:PHA655412 PQM655412:PQW655412 QAI655412:QAS655412 QKE655412:QKO655412 QUA655412:QUK655412 RDW655412:REG655412 RNS655412:ROC655412 RXO655412:RXY655412 SHK655412:SHU655412 SRG655412:SRQ655412 TBC655412:TBM655412 TKY655412:TLI655412 TUU655412:TVE655412 UEQ655412:UFA655412 UOM655412:UOW655412 UYI655412:UYS655412 VIE655412:VIO655412 VSA655412:VSK655412 WBW655412:WCG655412 WLS655412:WMC655412 WVO655412:WVY655412 G720948:Q720948 JC720948:JM720948 SY720948:TI720948 ACU720948:ADE720948 AMQ720948:ANA720948 AWM720948:AWW720948 BGI720948:BGS720948 BQE720948:BQO720948 CAA720948:CAK720948 CJW720948:CKG720948 CTS720948:CUC720948 DDO720948:DDY720948 DNK720948:DNU720948 DXG720948:DXQ720948 EHC720948:EHM720948 EQY720948:ERI720948 FAU720948:FBE720948 FKQ720948:FLA720948 FUM720948:FUW720948 GEI720948:GES720948 GOE720948:GOO720948 GYA720948:GYK720948 HHW720948:HIG720948 HRS720948:HSC720948 IBO720948:IBY720948 ILK720948:ILU720948 IVG720948:IVQ720948 JFC720948:JFM720948 JOY720948:JPI720948 JYU720948:JZE720948 KIQ720948:KJA720948 KSM720948:KSW720948 LCI720948:LCS720948 LME720948:LMO720948 LWA720948:LWK720948 MFW720948:MGG720948 MPS720948:MQC720948 MZO720948:MZY720948 NJK720948:NJU720948 NTG720948:NTQ720948 ODC720948:ODM720948 OMY720948:ONI720948 OWU720948:OXE720948 PGQ720948:PHA720948 PQM720948:PQW720948 QAI720948:QAS720948 QKE720948:QKO720948 QUA720948:QUK720948 RDW720948:REG720948 RNS720948:ROC720948 RXO720948:RXY720948 SHK720948:SHU720948 SRG720948:SRQ720948 TBC720948:TBM720948 TKY720948:TLI720948 TUU720948:TVE720948 UEQ720948:UFA720948 UOM720948:UOW720948 UYI720948:UYS720948 VIE720948:VIO720948 VSA720948:VSK720948 WBW720948:WCG720948 WLS720948:WMC720948 WVO720948:WVY720948 G786484:Q786484 JC786484:JM786484 SY786484:TI786484 ACU786484:ADE786484 AMQ786484:ANA786484 AWM786484:AWW786484 BGI786484:BGS786484 BQE786484:BQO786484 CAA786484:CAK786484 CJW786484:CKG786484 CTS786484:CUC786484 DDO786484:DDY786484 DNK786484:DNU786484 DXG786484:DXQ786484 EHC786484:EHM786484 EQY786484:ERI786484 FAU786484:FBE786484 FKQ786484:FLA786484 FUM786484:FUW786484 GEI786484:GES786484 GOE786484:GOO786484 GYA786484:GYK786484 HHW786484:HIG786484 HRS786484:HSC786484 IBO786484:IBY786484 ILK786484:ILU786484 IVG786484:IVQ786484 JFC786484:JFM786484 JOY786484:JPI786484 JYU786484:JZE786484 KIQ786484:KJA786484 KSM786484:KSW786484 LCI786484:LCS786484 LME786484:LMO786484 LWA786484:LWK786484 MFW786484:MGG786484 MPS786484:MQC786484 MZO786484:MZY786484 NJK786484:NJU786484 NTG786484:NTQ786484 ODC786484:ODM786484 OMY786484:ONI786484 OWU786484:OXE786484 PGQ786484:PHA786484 PQM786484:PQW786484 QAI786484:QAS786484 QKE786484:QKO786484 QUA786484:QUK786484 RDW786484:REG786484 RNS786484:ROC786484 RXO786484:RXY786484 SHK786484:SHU786484 SRG786484:SRQ786484 TBC786484:TBM786484 TKY786484:TLI786484 TUU786484:TVE786484 UEQ786484:UFA786484 UOM786484:UOW786484 UYI786484:UYS786484 VIE786484:VIO786484 VSA786484:VSK786484 WBW786484:WCG786484 WLS786484:WMC786484 WVO786484:WVY786484 G852020:Q852020 JC852020:JM852020 SY852020:TI852020 ACU852020:ADE852020 AMQ852020:ANA852020 AWM852020:AWW852020 BGI852020:BGS852020 BQE852020:BQO852020 CAA852020:CAK852020 CJW852020:CKG852020 CTS852020:CUC852020 DDO852020:DDY852020 DNK852020:DNU852020 DXG852020:DXQ852020 EHC852020:EHM852020 EQY852020:ERI852020 FAU852020:FBE852020 FKQ852020:FLA852020 FUM852020:FUW852020 GEI852020:GES852020 GOE852020:GOO852020 GYA852020:GYK852020 HHW852020:HIG852020 HRS852020:HSC852020 IBO852020:IBY852020 ILK852020:ILU852020 IVG852020:IVQ852020 JFC852020:JFM852020 JOY852020:JPI852020 JYU852020:JZE852020 KIQ852020:KJA852020 KSM852020:KSW852020 LCI852020:LCS852020 LME852020:LMO852020 LWA852020:LWK852020 MFW852020:MGG852020 MPS852020:MQC852020 MZO852020:MZY852020 NJK852020:NJU852020 NTG852020:NTQ852020 ODC852020:ODM852020 OMY852020:ONI852020 OWU852020:OXE852020 PGQ852020:PHA852020 PQM852020:PQW852020 QAI852020:QAS852020 QKE852020:QKO852020 QUA852020:QUK852020 RDW852020:REG852020 RNS852020:ROC852020 RXO852020:RXY852020 SHK852020:SHU852020 SRG852020:SRQ852020 TBC852020:TBM852020 TKY852020:TLI852020 TUU852020:TVE852020 UEQ852020:UFA852020 UOM852020:UOW852020 UYI852020:UYS852020 VIE852020:VIO852020 VSA852020:VSK852020 WBW852020:WCG852020 WLS852020:WMC852020 WVO852020:WVY852020 G917556:Q917556 JC917556:JM917556 SY917556:TI917556 ACU917556:ADE917556 AMQ917556:ANA917556 AWM917556:AWW917556 BGI917556:BGS917556 BQE917556:BQO917556 CAA917556:CAK917556 CJW917556:CKG917556 CTS917556:CUC917556 DDO917556:DDY917556 DNK917556:DNU917556 DXG917556:DXQ917556 EHC917556:EHM917556 EQY917556:ERI917556 FAU917556:FBE917556 FKQ917556:FLA917556 FUM917556:FUW917556 GEI917556:GES917556 GOE917556:GOO917556 GYA917556:GYK917556 HHW917556:HIG917556 HRS917556:HSC917556 IBO917556:IBY917556 ILK917556:ILU917556 IVG917556:IVQ917556 JFC917556:JFM917556 JOY917556:JPI917556 JYU917556:JZE917556 KIQ917556:KJA917556 KSM917556:KSW917556 LCI917556:LCS917556 LME917556:LMO917556 LWA917556:LWK917556 MFW917556:MGG917556 MPS917556:MQC917556 MZO917556:MZY917556 NJK917556:NJU917556 NTG917556:NTQ917556 ODC917556:ODM917556 OMY917556:ONI917556 OWU917556:OXE917556 PGQ917556:PHA917556 PQM917556:PQW917556 QAI917556:QAS917556 QKE917556:QKO917556 QUA917556:QUK917556 RDW917556:REG917556 RNS917556:ROC917556 RXO917556:RXY917556 SHK917556:SHU917556 SRG917556:SRQ917556 TBC917556:TBM917556 TKY917556:TLI917556 TUU917556:TVE917556 UEQ917556:UFA917556 UOM917556:UOW917556 UYI917556:UYS917556 VIE917556:VIO917556 VSA917556:VSK917556 WBW917556:WCG917556 WLS917556:WMC917556 WVO917556:WVY917556 G983092:Q983092 JC983092:JM983092 SY983092:TI983092 ACU983092:ADE983092 AMQ983092:ANA983092 AWM983092:AWW983092 BGI983092:BGS983092 BQE983092:BQO983092 CAA983092:CAK983092 CJW983092:CKG983092 CTS983092:CUC983092 DDO983092:DDY983092 DNK983092:DNU983092 DXG983092:DXQ983092 EHC983092:EHM983092 EQY983092:ERI983092 FAU983092:FBE983092 FKQ983092:FLA983092 FUM983092:FUW983092 GEI983092:GES983092 GOE983092:GOO983092 GYA983092:GYK983092 HHW983092:HIG983092 HRS983092:HSC983092 IBO983092:IBY983092 ILK983092:ILU983092 IVG983092:IVQ983092 JFC983092:JFM983092 JOY983092:JPI983092 JYU983092:JZE983092 KIQ983092:KJA983092 KSM983092:KSW983092 LCI983092:LCS983092 LME983092:LMO983092 LWA983092:LWK983092 MFW983092:MGG983092 MPS983092:MQC983092 MZO983092:MZY983092 NJK983092:NJU983092 NTG983092:NTQ983092 ODC983092:ODM983092 OMY983092:ONI983092 OWU983092:OXE983092 PGQ983092:PHA983092 PQM983092:PQW983092 QAI983092:QAS983092 QKE983092:QKO983092 QUA983092:QUK983092 RDW983092:REG983092 RNS983092:ROC983092 RXO983092:RXY983092 SHK983092:SHU983092 SRG983092:SRQ983092 TBC983092:TBM983092 TKY983092:TLI983092 TUU983092:TVE983092 UEQ983092:UFA983092 UOM983092:UOW983092 UYI983092:UYS983092 VIE983092:VIO983092 VSA983092:VSK983092 WBW983092:WCG983092 WLS983092:WMC983092 WVO983092:WVY983092">
      <formula1>900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decimal" allowBlank="1" showErrorMessage="1" errorTitle="Ошибка" error="Допускается ввод только действительных чисел!">
          <x14:formula1>
            <xm:f>-9.99999999999999E+23</xm:f>
          </x14:formula1>
          <x14:formula2>
            <xm:f>9.99999999999999E+23</xm:f>
          </x14:formula2>
          <xm:sqref>G65546:G65547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G131082:G131083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G196618:G196619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G262154:G262155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G327690:G327691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G393226:G393227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G458762:G458763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G524298:G524299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G589834:G589835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G655370:G655371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G720906:G720907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G786442:G786443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G851978:G851979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G917514:G917515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G983050:G983051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G65535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G131071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G196607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G262143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G327679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G393215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G458751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G524287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G589823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G655359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G720895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G786431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G851967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G917503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G983039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G65527:G65532 JC65527:JC65532 SY65527:SY65532 ACU65527:ACU65532 AMQ65527:AMQ65532 AWM65527:AWM65532 BGI65527:BGI65532 BQE65527:BQE65532 CAA65527:CAA65532 CJW65527:CJW65532 CTS65527:CTS65532 DDO65527:DDO65532 DNK65527:DNK65532 DXG65527:DXG65532 EHC65527:EHC65532 EQY65527:EQY65532 FAU65527:FAU65532 FKQ65527:FKQ65532 FUM65527:FUM65532 GEI65527:GEI65532 GOE65527:GOE65532 GYA65527:GYA65532 HHW65527:HHW65532 HRS65527:HRS65532 IBO65527:IBO65532 ILK65527:ILK65532 IVG65527:IVG65532 JFC65527:JFC65532 JOY65527:JOY65532 JYU65527:JYU65532 KIQ65527:KIQ65532 KSM65527:KSM65532 LCI65527:LCI65532 LME65527:LME65532 LWA65527:LWA65532 MFW65527:MFW65532 MPS65527:MPS65532 MZO65527:MZO65532 NJK65527:NJK65532 NTG65527:NTG65532 ODC65527:ODC65532 OMY65527:OMY65532 OWU65527:OWU65532 PGQ65527:PGQ65532 PQM65527:PQM65532 QAI65527:QAI65532 QKE65527:QKE65532 QUA65527:QUA65532 RDW65527:RDW65532 RNS65527:RNS65532 RXO65527:RXO65532 SHK65527:SHK65532 SRG65527:SRG65532 TBC65527:TBC65532 TKY65527:TKY65532 TUU65527:TUU65532 UEQ65527:UEQ65532 UOM65527:UOM65532 UYI65527:UYI65532 VIE65527:VIE65532 VSA65527:VSA65532 WBW65527:WBW65532 WLS65527:WLS65532 WVO65527:WVO65532 G131063:G131068 JC131063:JC131068 SY131063:SY131068 ACU131063:ACU131068 AMQ131063:AMQ131068 AWM131063:AWM131068 BGI131063:BGI131068 BQE131063:BQE131068 CAA131063:CAA131068 CJW131063:CJW131068 CTS131063:CTS131068 DDO131063:DDO131068 DNK131063:DNK131068 DXG131063:DXG131068 EHC131063:EHC131068 EQY131063:EQY131068 FAU131063:FAU131068 FKQ131063:FKQ131068 FUM131063:FUM131068 GEI131063:GEI131068 GOE131063:GOE131068 GYA131063:GYA131068 HHW131063:HHW131068 HRS131063:HRS131068 IBO131063:IBO131068 ILK131063:ILK131068 IVG131063:IVG131068 JFC131063:JFC131068 JOY131063:JOY131068 JYU131063:JYU131068 KIQ131063:KIQ131068 KSM131063:KSM131068 LCI131063:LCI131068 LME131063:LME131068 LWA131063:LWA131068 MFW131063:MFW131068 MPS131063:MPS131068 MZO131063:MZO131068 NJK131063:NJK131068 NTG131063:NTG131068 ODC131063:ODC131068 OMY131063:OMY131068 OWU131063:OWU131068 PGQ131063:PGQ131068 PQM131063:PQM131068 QAI131063:QAI131068 QKE131063:QKE131068 QUA131063:QUA131068 RDW131063:RDW131068 RNS131063:RNS131068 RXO131063:RXO131068 SHK131063:SHK131068 SRG131063:SRG131068 TBC131063:TBC131068 TKY131063:TKY131068 TUU131063:TUU131068 UEQ131063:UEQ131068 UOM131063:UOM131068 UYI131063:UYI131068 VIE131063:VIE131068 VSA131063:VSA131068 WBW131063:WBW131068 WLS131063:WLS131068 WVO131063:WVO131068 G196599:G196604 JC196599:JC196604 SY196599:SY196604 ACU196599:ACU196604 AMQ196599:AMQ196604 AWM196599:AWM196604 BGI196599:BGI196604 BQE196599:BQE196604 CAA196599:CAA196604 CJW196599:CJW196604 CTS196599:CTS196604 DDO196599:DDO196604 DNK196599:DNK196604 DXG196599:DXG196604 EHC196599:EHC196604 EQY196599:EQY196604 FAU196599:FAU196604 FKQ196599:FKQ196604 FUM196599:FUM196604 GEI196599:GEI196604 GOE196599:GOE196604 GYA196599:GYA196604 HHW196599:HHW196604 HRS196599:HRS196604 IBO196599:IBO196604 ILK196599:ILK196604 IVG196599:IVG196604 JFC196599:JFC196604 JOY196599:JOY196604 JYU196599:JYU196604 KIQ196599:KIQ196604 KSM196599:KSM196604 LCI196599:LCI196604 LME196599:LME196604 LWA196599:LWA196604 MFW196599:MFW196604 MPS196599:MPS196604 MZO196599:MZO196604 NJK196599:NJK196604 NTG196599:NTG196604 ODC196599:ODC196604 OMY196599:OMY196604 OWU196599:OWU196604 PGQ196599:PGQ196604 PQM196599:PQM196604 QAI196599:QAI196604 QKE196599:QKE196604 QUA196599:QUA196604 RDW196599:RDW196604 RNS196599:RNS196604 RXO196599:RXO196604 SHK196599:SHK196604 SRG196599:SRG196604 TBC196599:TBC196604 TKY196599:TKY196604 TUU196599:TUU196604 UEQ196599:UEQ196604 UOM196599:UOM196604 UYI196599:UYI196604 VIE196599:VIE196604 VSA196599:VSA196604 WBW196599:WBW196604 WLS196599:WLS196604 WVO196599:WVO196604 G262135:G262140 JC262135:JC262140 SY262135:SY262140 ACU262135:ACU262140 AMQ262135:AMQ262140 AWM262135:AWM262140 BGI262135:BGI262140 BQE262135:BQE262140 CAA262135:CAA262140 CJW262135:CJW262140 CTS262135:CTS262140 DDO262135:DDO262140 DNK262135:DNK262140 DXG262135:DXG262140 EHC262135:EHC262140 EQY262135:EQY262140 FAU262135:FAU262140 FKQ262135:FKQ262140 FUM262135:FUM262140 GEI262135:GEI262140 GOE262135:GOE262140 GYA262135:GYA262140 HHW262135:HHW262140 HRS262135:HRS262140 IBO262135:IBO262140 ILK262135:ILK262140 IVG262135:IVG262140 JFC262135:JFC262140 JOY262135:JOY262140 JYU262135:JYU262140 KIQ262135:KIQ262140 KSM262135:KSM262140 LCI262135:LCI262140 LME262135:LME262140 LWA262135:LWA262140 MFW262135:MFW262140 MPS262135:MPS262140 MZO262135:MZO262140 NJK262135:NJK262140 NTG262135:NTG262140 ODC262135:ODC262140 OMY262135:OMY262140 OWU262135:OWU262140 PGQ262135:PGQ262140 PQM262135:PQM262140 QAI262135:QAI262140 QKE262135:QKE262140 QUA262135:QUA262140 RDW262135:RDW262140 RNS262135:RNS262140 RXO262135:RXO262140 SHK262135:SHK262140 SRG262135:SRG262140 TBC262135:TBC262140 TKY262135:TKY262140 TUU262135:TUU262140 UEQ262135:UEQ262140 UOM262135:UOM262140 UYI262135:UYI262140 VIE262135:VIE262140 VSA262135:VSA262140 WBW262135:WBW262140 WLS262135:WLS262140 WVO262135:WVO262140 G327671:G327676 JC327671:JC327676 SY327671:SY327676 ACU327671:ACU327676 AMQ327671:AMQ327676 AWM327671:AWM327676 BGI327671:BGI327676 BQE327671:BQE327676 CAA327671:CAA327676 CJW327671:CJW327676 CTS327671:CTS327676 DDO327671:DDO327676 DNK327671:DNK327676 DXG327671:DXG327676 EHC327671:EHC327676 EQY327671:EQY327676 FAU327671:FAU327676 FKQ327671:FKQ327676 FUM327671:FUM327676 GEI327671:GEI327676 GOE327671:GOE327676 GYA327671:GYA327676 HHW327671:HHW327676 HRS327671:HRS327676 IBO327671:IBO327676 ILK327671:ILK327676 IVG327671:IVG327676 JFC327671:JFC327676 JOY327671:JOY327676 JYU327671:JYU327676 KIQ327671:KIQ327676 KSM327671:KSM327676 LCI327671:LCI327676 LME327671:LME327676 LWA327671:LWA327676 MFW327671:MFW327676 MPS327671:MPS327676 MZO327671:MZO327676 NJK327671:NJK327676 NTG327671:NTG327676 ODC327671:ODC327676 OMY327671:OMY327676 OWU327671:OWU327676 PGQ327671:PGQ327676 PQM327671:PQM327676 QAI327671:QAI327676 QKE327671:QKE327676 QUA327671:QUA327676 RDW327671:RDW327676 RNS327671:RNS327676 RXO327671:RXO327676 SHK327671:SHK327676 SRG327671:SRG327676 TBC327671:TBC327676 TKY327671:TKY327676 TUU327671:TUU327676 UEQ327671:UEQ327676 UOM327671:UOM327676 UYI327671:UYI327676 VIE327671:VIE327676 VSA327671:VSA327676 WBW327671:WBW327676 WLS327671:WLS327676 WVO327671:WVO327676 G393207:G393212 JC393207:JC393212 SY393207:SY393212 ACU393207:ACU393212 AMQ393207:AMQ393212 AWM393207:AWM393212 BGI393207:BGI393212 BQE393207:BQE393212 CAA393207:CAA393212 CJW393207:CJW393212 CTS393207:CTS393212 DDO393207:DDO393212 DNK393207:DNK393212 DXG393207:DXG393212 EHC393207:EHC393212 EQY393207:EQY393212 FAU393207:FAU393212 FKQ393207:FKQ393212 FUM393207:FUM393212 GEI393207:GEI393212 GOE393207:GOE393212 GYA393207:GYA393212 HHW393207:HHW393212 HRS393207:HRS393212 IBO393207:IBO393212 ILK393207:ILK393212 IVG393207:IVG393212 JFC393207:JFC393212 JOY393207:JOY393212 JYU393207:JYU393212 KIQ393207:KIQ393212 KSM393207:KSM393212 LCI393207:LCI393212 LME393207:LME393212 LWA393207:LWA393212 MFW393207:MFW393212 MPS393207:MPS393212 MZO393207:MZO393212 NJK393207:NJK393212 NTG393207:NTG393212 ODC393207:ODC393212 OMY393207:OMY393212 OWU393207:OWU393212 PGQ393207:PGQ393212 PQM393207:PQM393212 QAI393207:QAI393212 QKE393207:QKE393212 QUA393207:QUA393212 RDW393207:RDW393212 RNS393207:RNS393212 RXO393207:RXO393212 SHK393207:SHK393212 SRG393207:SRG393212 TBC393207:TBC393212 TKY393207:TKY393212 TUU393207:TUU393212 UEQ393207:UEQ393212 UOM393207:UOM393212 UYI393207:UYI393212 VIE393207:VIE393212 VSA393207:VSA393212 WBW393207:WBW393212 WLS393207:WLS393212 WVO393207:WVO393212 G458743:G458748 JC458743:JC458748 SY458743:SY458748 ACU458743:ACU458748 AMQ458743:AMQ458748 AWM458743:AWM458748 BGI458743:BGI458748 BQE458743:BQE458748 CAA458743:CAA458748 CJW458743:CJW458748 CTS458743:CTS458748 DDO458743:DDO458748 DNK458743:DNK458748 DXG458743:DXG458748 EHC458743:EHC458748 EQY458743:EQY458748 FAU458743:FAU458748 FKQ458743:FKQ458748 FUM458743:FUM458748 GEI458743:GEI458748 GOE458743:GOE458748 GYA458743:GYA458748 HHW458743:HHW458748 HRS458743:HRS458748 IBO458743:IBO458748 ILK458743:ILK458748 IVG458743:IVG458748 JFC458743:JFC458748 JOY458743:JOY458748 JYU458743:JYU458748 KIQ458743:KIQ458748 KSM458743:KSM458748 LCI458743:LCI458748 LME458743:LME458748 LWA458743:LWA458748 MFW458743:MFW458748 MPS458743:MPS458748 MZO458743:MZO458748 NJK458743:NJK458748 NTG458743:NTG458748 ODC458743:ODC458748 OMY458743:OMY458748 OWU458743:OWU458748 PGQ458743:PGQ458748 PQM458743:PQM458748 QAI458743:QAI458748 QKE458743:QKE458748 QUA458743:QUA458748 RDW458743:RDW458748 RNS458743:RNS458748 RXO458743:RXO458748 SHK458743:SHK458748 SRG458743:SRG458748 TBC458743:TBC458748 TKY458743:TKY458748 TUU458743:TUU458748 UEQ458743:UEQ458748 UOM458743:UOM458748 UYI458743:UYI458748 VIE458743:VIE458748 VSA458743:VSA458748 WBW458743:WBW458748 WLS458743:WLS458748 WVO458743:WVO458748 G524279:G524284 JC524279:JC524284 SY524279:SY524284 ACU524279:ACU524284 AMQ524279:AMQ524284 AWM524279:AWM524284 BGI524279:BGI524284 BQE524279:BQE524284 CAA524279:CAA524284 CJW524279:CJW524284 CTS524279:CTS524284 DDO524279:DDO524284 DNK524279:DNK524284 DXG524279:DXG524284 EHC524279:EHC524284 EQY524279:EQY524284 FAU524279:FAU524284 FKQ524279:FKQ524284 FUM524279:FUM524284 GEI524279:GEI524284 GOE524279:GOE524284 GYA524279:GYA524284 HHW524279:HHW524284 HRS524279:HRS524284 IBO524279:IBO524284 ILK524279:ILK524284 IVG524279:IVG524284 JFC524279:JFC524284 JOY524279:JOY524284 JYU524279:JYU524284 KIQ524279:KIQ524284 KSM524279:KSM524284 LCI524279:LCI524284 LME524279:LME524284 LWA524279:LWA524284 MFW524279:MFW524284 MPS524279:MPS524284 MZO524279:MZO524284 NJK524279:NJK524284 NTG524279:NTG524284 ODC524279:ODC524284 OMY524279:OMY524284 OWU524279:OWU524284 PGQ524279:PGQ524284 PQM524279:PQM524284 QAI524279:QAI524284 QKE524279:QKE524284 QUA524279:QUA524284 RDW524279:RDW524284 RNS524279:RNS524284 RXO524279:RXO524284 SHK524279:SHK524284 SRG524279:SRG524284 TBC524279:TBC524284 TKY524279:TKY524284 TUU524279:TUU524284 UEQ524279:UEQ524284 UOM524279:UOM524284 UYI524279:UYI524284 VIE524279:VIE524284 VSA524279:VSA524284 WBW524279:WBW524284 WLS524279:WLS524284 WVO524279:WVO524284 G589815:G589820 JC589815:JC589820 SY589815:SY589820 ACU589815:ACU589820 AMQ589815:AMQ589820 AWM589815:AWM589820 BGI589815:BGI589820 BQE589815:BQE589820 CAA589815:CAA589820 CJW589815:CJW589820 CTS589815:CTS589820 DDO589815:DDO589820 DNK589815:DNK589820 DXG589815:DXG589820 EHC589815:EHC589820 EQY589815:EQY589820 FAU589815:FAU589820 FKQ589815:FKQ589820 FUM589815:FUM589820 GEI589815:GEI589820 GOE589815:GOE589820 GYA589815:GYA589820 HHW589815:HHW589820 HRS589815:HRS589820 IBO589815:IBO589820 ILK589815:ILK589820 IVG589815:IVG589820 JFC589815:JFC589820 JOY589815:JOY589820 JYU589815:JYU589820 KIQ589815:KIQ589820 KSM589815:KSM589820 LCI589815:LCI589820 LME589815:LME589820 LWA589815:LWA589820 MFW589815:MFW589820 MPS589815:MPS589820 MZO589815:MZO589820 NJK589815:NJK589820 NTG589815:NTG589820 ODC589815:ODC589820 OMY589815:OMY589820 OWU589815:OWU589820 PGQ589815:PGQ589820 PQM589815:PQM589820 QAI589815:QAI589820 QKE589815:QKE589820 QUA589815:QUA589820 RDW589815:RDW589820 RNS589815:RNS589820 RXO589815:RXO589820 SHK589815:SHK589820 SRG589815:SRG589820 TBC589815:TBC589820 TKY589815:TKY589820 TUU589815:TUU589820 UEQ589815:UEQ589820 UOM589815:UOM589820 UYI589815:UYI589820 VIE589815:VIE589820 VSA589815:VSA589820 WBW589815:WBW589820 WLS589815:WLS589820 WVO589815:WVO589820 G655351:G655356 JC655351:JC655356 SY655351:SY655356 ACU655351:ACU655356 AMQ655351:AMQ655356 AWM655351:AWM655356 BGI655351:BGI655356 BQE655351:BQE655356 CAA655351:CAA655356 CJW655351:CJW655356 CTS655351:CTS655356 DDO655351:DDO655356 DNK655351:DNK655356 DXG655351:DXG655356 EHC655351:EHC655356 EQY655351:EQY655356 FAU655351:FAU655356 FKQ655351:FKQ655356 FUM655351:FUM655356 GEI655351:GEI655356 GOE655351:GOE655356 GYA655351:GYA655356 HHW655351:HHW655356 HRS655351:HRS655356 IBO655351:IBO655356 ILK655351:ILK655356 IVG655351:IVG655356 JFC655351:JFC655356 JOY655351:JOY655356 JYU655351:JYU655356 KIQ655351:KIQ655356 KSM655351:KSM655356 LCI655351:LCI655356 LME655351:LME655356 LWA655351:LWA655356 MFW655351:MFW655356 MPS655351:MPS655356 MZO655351:MZO655356 NJK655351:NJK655356 NTG655351:NTG655356 ODC655351:ODC655356 OMY655351:OMY655356 OWU655351:OWU655356 PGQ655351:PGQ655356 PQM655351:PQM655356 QAI655351:QAI655356 QKE655351:QKE655356 QUA655351:QUA655356 RDW655351:RDW655356 RNS655351:RNS655356 RXO655351:RXO655356 SHK655351:SHK655356 SRG655351:SRG655356 TBC655351:TBC655356 TKY655351:TKY655356 TUU655351:TUU655356 UEQ655351:UEQ655356 UOM655351:UOM655356 UYI655351:UYI655356 VIE655351:VIE655356 VSA655351:VSA655356 WBW655351:WBW655356 WLS655351:WLS655356 WVO655351:WVO655356 G720887:G720892 JC720887:JC720892 SY720887:SY720892 ACU720887:ACU720892 AMQ720887:AMQ720892 AWM720887:AWM720892 BGI720887:BGI720892 BQE720887:BQE720892 CAA720887:CAA720892 CJW720887:CJW720892 CTS720887:CTS720892 DDO720887:DDO720892 DNK720887:DNK720892 DXG720887:DXG720892 EHC720887:EHC720892 EQY720887:EQY720892 FAU720887:FAU720892 FKQ720887:FKQ720892 FUM720887:FUM720892 GEI720887:GEI720892 GOE720887:GOE720892 GYA720887:GYA720892 HHW720887:HHW720892 HRS720887:HRS720892 IBO720887:IBO720892 ILK720887:ILK720892 IVG720887:IVG720892 JFC720887:JFC720892 JOY720887:JOY720892 JYU720887:JYU720892 KIQ720887:KIQ720892 KSM720887:KSM720892 LCI720887:LCI720892 LME720887:LME720892 LWA720887:LWA720892 MFW720887:MFW720892 MPS720887:MPS720892 MZO720887:MZO720892 NJK720887:NJK720892 NTG720887:NTG720892 ODC720887:ODC720892 OMY720887:OMY720892 OWU720887:OWU720892 PGQ720887:PGQ720892 PQM720887:PQM720892 QAI720887:QAI720892 QKE720887:QKE720892 QUA720887:QUA720892 RDW720887:RDW720892 RNS720887:RNS720892 RXO720887:RXO720892 SHK720887:SHK720892 SRG720887:SRG720892 TBC720887:TBC720892 TKY720887:TKY720892 TUU720887:TUU720892 UEQ720887:UEQ720892 UOM720887:UOM720892 UYI720887:UYI720892 VIE720887:VIE720892 VSA720887:VSA720892 WBW720887:WBW720892 WLS720887:WLS720892 WVO720887:WVO720892 G786423:G786428 JC786423:JC786428 SY786423:SY786428 ACU786423:ACU786428 AMQ786423:AMQ786428 AWM786423:AWM786428 BGI786423:BGI786428 BQE786423:BQE786428 CAA786423:CAA786428 CJW786423:CJW786428 CTS786423:CTS786428 DDO786423:DDO786428 DNK786423:DNK786428 DXG786423:DXG786428 EHC786423:EHC786428 EQY786423:EQY786428 FAU786423:FAU786428 FKQ786423:FKQ786428 FUM786423:FUM786428 GEI786423:GEI786428 GOE786423:GOE786428 GYA786423:GYA786428 HHW786423:HHW786428 HRS786423:HRS786428 IBO786423:IBO786428 ILK786423:ILK786428 IVG786423:IVG786428 JFC786423:JFC786428 JOY786423:JOY786428 JYU786423:JYU786428 KIQ786423:KIQ786428 KSM786423:KSM786428 LCI786423:LCI786428 LME786423:LME786428 LWA786423:LWA786428 MFW786423:MFW786428 MPS786423:MPS786428 MZO786423:MZO786428 NJK786423:NJK786428 NTG786423:NTG786428 ODC786423:ODC786428 OMY786423:OMY786428 OWU786423:OWU786428 PGQ786423:PGQ786428 PQM786423:PQM786428 QAI786423:QAI786428 QKE786423:QKE786428 QUA786423:QUA786428 RDW786423:RDW786428 RNS786423:RNS786428 RXO786423:RXO786428 SHK786423:SHK786428 SRG786423:SRG786428 TBC786423:TBC786428 TKY786423:TKY786428 TUU786423:TUU786428 UEQ786423:UEQ786428 UOM786423:UOM786428 UYI786423:UYI786428 VIE786423:VIE786428 VSA786423:VSA786428 WBW786423:WBW786428 WLS786423:WLS786428 WVO786423:WVO786428 G851959:G851964 JC851959:JC851964 SY851959:SY851964 ACU851959:ACU851964 AMQ851959:AMQ851964 AWM851959:AWM851964 BGI851959:BGI851964 BQE851959:BQE851964 CAA851959:CAA851964 CJW851959:CJW851964 CTS851959:CTS851964 DDO851959:DDO851964 DNK851959:DNK851964 DXG851959:DXG851964 EHC851959:EHC851964 EQY851959:EQY851964 FAU851959:FAU851964 FKQ851959:FKQ851964 FUM851959:FUM851964 GEI851959:GEI851964 GOE851959:GOE851964 GYA851959:GYA851964 HHW851959:HHW851964 HRS851959:HRS851964 IBO851959:IBO851964 ILK851959:ILK851964 IVG851959:IVG851964 JFC851959:JFC851964 JOY851959:JOY851964 JYU851959:JYU851964 KIQ851959:KIQ851964 KSM851959:KSM851964 LCI851959:LCI851964 LME851959:LME851964 LWA851959:LWA851964 MFW851959:MFW851964 MPS851959:MPS851964 MZO851959:MZO851964 NJK851959:NJK851964 NTG851959:NTG851964 ODC851959:ODC851964 OMY851959:OMY851964 OWU851959:OWU851964 PGQ851959:PGQ851964 PQM851959:PQM851964 QAI851959:QAI851964 QKE851959:QKE851964 QUA851959:QUA851964 RDW851959:RDW851964 RNS851959:RNS851964 RXO851959:RXO851964 SHK851959:SHK851964 SRG851959:SRG851964 TBC851959:TBC851964 TKY851959:TKY851964 TUU851959:TUU851964 UEQ851959:UEQ851964 UOM851959:UOM851964 UYI851959:UYI851964 VIE851959:VIE851964 VSA851959:VSA851964 WBW851959:WBW851964 WLS851959:WLS851964 WVO851959:WVO851964 G917495:G917500 JC917495:JC917500 SY917495:SY917500 ACU917495:ACU917500 AMQ917495:AMQ917500 AWM917495:AWM917500 BGI917495:BGI917500 BQE917495:BQE917500 CAA917495:CAA917500 CJW917495:CJW917500 CTS917495:CTS917500 DDO917495:DDO917500 DNK917495:DNK917500 DXG917495:DXG917500 EHC917495:EHC917500 EQY917495:EQY917500 FAU917495:FAU917500 FKQ917495:FKQ917500 FUM917495:FUM917500 GEI917495:GEI917500 GOE917495:GOE917500 GYA917495:GYA917500 HHW917495:HHW917500 HRS917495:HRS917500 IBO917495:IBO917500 ILK917495:ILK917500 IVG917495:IVG917500 JFC917495:JFC917500 JOY917495:JOY917500 JYU917495:JYU917500 KIQ917495:KIQ917500 KSM917495:KSM917500 LCI917495:LCI917500 LME917495:LME917500 LWA917495:LWA917500 MFW917495:MFW917500 MPS917495:MPS917500 MZO917495:MZO917500 NJK917495:NJK917500 NTG917495:NTG917500 ODC917495:ODC917500 OMY917495:OMY917500 OWU917495:OWU917500 PGQ917495:PGQ917500 PQM917495:PQM917500 QAI917495:QAI917500 QKE917495:QKE917500 QUA917495:QUA917500 RDW917495:RDW917500 RNS917495:RNS917500 RXO917495:RXO917500 SHK917495:SHK917500 SRG917495:SRG917500 TBC917495:TBC917500 TKY917495:TKY917500 TUU917495:TUU917500 UEQ917495:UEQ917500 UOM917495:UOM917500 UYI917495:UYI917500 VIE917495:VIE917500 VSA917495:VSA917500 WBW917495:WBW917500 WLS917495:WLS917500 WVO917495:WVO917500 G983031:G983036 JC983031:JC983036 SY983031:SY983036 ACU983031:ACU983036 AMQ983031:AMQ983036 AWM983031:AWM983036 BGI983031:BGI983036 BQE983031:BQE983036 CAA983031:CAA983036 CJW983031:CJW983036 CTS983031:CTS983036 DDO983031:DDO983036 DNK983031:DNK983036 DXG983031:DXG983036 EHC983031:EHC983036 EQY983031:EQY983036 FAU983031:FAU983036 FKQ983031:FKQ983036 FUM983031:FUM983036 GEI983031:GEI983036 GOE983031:GOE983036 GYA983031:GYA983036 HHW983031:HHW983036 HRS983031:HRS983036 IBO983031:IBO983036 ILK983031:ILK983036 IVG983031:IVG983036 JFC983031:JFC983036 JOY983031:JOY983036 JYU983031:JYU983036 KIQ983031:KIQ983036 KSM983031:KSM983036 LCI983031:LCI983036 LME983031:LME983036 LWA983031:LWA983036 MFW983031:MFW983036 MPS983031:MPS983036 MZO983031:MZO983036 NJK983031:NJK983036 NTG983031:NTG983036 ODC983031:ODC983036 OMY983031:OMY983036 OWU983031:OWU983036 PGQ983031:PGQ983036 PQM983031:PQM983036 QAI983031:QAI983036 QKE983031:QKE983036 QUA983031:QUA983036 RDW983031:RDW983036 RNS983031:RNS983036 RXO983031:RXO983036 SHK983031:SHK983036 SRG983031:SRG983036 TBC983031:TBC983036 TKY983031:TKY983036 TUU983031:TUU983036 UEQ983031:UEQ983036 UOM983031:UOM983036 UYI983031:UYI983036 VIE983031:VIE983036 VSA983031:VSA983036 WBW983031:WBW983036 WLS983031:WLS983036 WVO983031:WVO983036 JC44:JC50 SY44:SY50 ACU44:ACU50 AMQ44:AMQ50 AWM44:AWM50 BGI44:BGI50 BQE44:BQE50 CAA44:CAA50 CJW44:CJW50 CTS44:CTS50 DDO44:DDO50 DNK44:DNK50 DXG44:DXG50 EHC44:EHC50 EQY44:EQY50 FAU44:FAU50 FKQ44:FKQ50 FUM44:FUM50 GEI44:GEI50 GOE44:GOE50 GYA44:GYA50 HHW44:HHW50 HRS44:HRS50 IBO44:IBO50 ILK44:ILK50 IVG44:IVG50 JFC44:JFC50 JOY44:JOY50 JYU44:JYU50 KIQ44:KIQ50 KSM44:KSM50 LCI44:LCI50 LME44:LME50 LWA44:LWA50 MFW44:MFW50 MPS44:MPS50 MZO44:MZO50 NJK44:NJK50 NTG44:NTG50 ODC44:ODC50 OMY44:OMY50 OWU44:OWU50 PGQ44:PGQ50 PQM44:PQM50 QAI44:QAI50 QKE44:QKE50 QUA44:QUA50 RDW44:RDW50 RNS44:RNS50 RXO44:RXO50 SHK44:SHK50 SRG44:SRG50 TBC44:TBC50 TKY44:TKY50 TUU44:TUU50 UEQ44:UEQ50 UOM44:UOM50 UYI44:UYI50 VIE44:VIE50 VSA44:VSA50 WBW44:WBW50 WLS44:WLS50 WVO44:WVO50 G65516:G65522 JC65516:JC65522 SY65516:SY65522 ACU65516:ACU65522 AMQ65516:AMQ65522 AWM65516:AWM65522 BGI65516:BGI65522 BQE65516:BQE65522 CAA65516:CAA65522 CJW65516:CJW65522 CTS65516:CTS65522 DDO65516:DDO65522 DNK65516:DNK65522 DXG65516:DXG65522 EHC65516:EHC65522 EQY65516:EQY65522 FAU65516:FAU65522 FKQ65516:FKQ65522 FUM65516:FUM65522 GEI65516:GEI65522 GOE65516:GOE65522 GYA65516:GYA65522 HHW65516:HHW65522 HRS65516:HRS65522 IBO65516:IBO65522 ILK65516:ILK65522 IVG65516:IVG65522 JFC65516:JFC65522 JOY65516:JOY65522 JYU65516:JYU65522 KIQ65516:KIQ65522 KSM65516:KSM65522 LCI65516:LCI65522 LME65516:LME65522 LWA65516:LWA65522 MFW65516:MFW65522 MPS65516:MPS65522 MZO65516:MZO65522 NJK65516:NJK65522 NTG65516:NTG65522 ODC65516:ODC65522 OMY65516:OMY65522 OWU65516:OWU65522 PGQ65516:PGQ65522 PQM65516:PQM65522 QAI65516:QAI65522 QKE65516:QKE65522 QUA65516:QUA65522 RDW65516:RDW65522 RNS65516:RNS65522 RXO65516:RXO65522 SHK65516:SHK65522 SRG65516:SRG65522 TBC65516:TBC65522 TKY65516:TKY65522 TUU65516:TUU65522 UEQ65516:UEQ65522 UOM65516:UOM65522 UYI65516:UYI65522 VIE65516:VIE65522 VSA65516:VSA65522 WBW65516:WBW65522 WLS65516:WLS65522 WVO65516:WVO65522 G131052:G131058 JC131052:JC131058 SY131052:SY131058 ACU131052:ACU131058 AMQ131052:AMQ131058 AWM131052:AWM131058 BGI131052:BGI131058 BQE131052:BQE131058 CAA131052:CAA131058 CJW131052:CJW131058 CTS131052:CTS131058 DDO131052:DDO131058 DNK131052:DNK131058 DXG131052:DXG131058 EHC131052:EHC131058 EQY131052:EQY131058 FAU131052:FAU131058 FKQ131052:FKQ131058 FUM131052:FUM131058 GEI131052:GEI131058 GOE131052:GOE131058 GYA131052:GYA131058 HHW131052:HHW131058 HRS131052:HRS131058 IBO131052:IBO131058 ILK131052:ILK131058 IVG131052:IVG131058 JFC131052:JFC131058 JOY131052:JOY131058 JYU131052:JYU131058 KIQ131052:KIQ131058 KSM131052:KSM131058 LCI131052:LCI131058 LME131052:LME131058 LWA131052:LWA131058 MFW131052:MFW131058 MPS131052:MPS131058 MZO131052:MZO131058 NJK131052:NJK131058 NTG131052:NTG131058 ODC131052:ODC131058 OMY131052:OMY131058 OWU131052:OWU131058 PGQ131052:PGQ131058 PQM131052:PQM131058 QAI131052:QAI131058 QKE131052:QKE131058 QUA131052:QUA131058 RDW131052:RDW131058 RNS131052:RNS131058 RXO131052:RXO131058 SHK131052:SHK131058 SRG131052:SRG131058 TBC131052:TBC131058 TKY131052:TKY131058 TUU131052:TUU131058 UEQ131052:UEQ131058 UOM131052:UOM131058 UYI131052:UYI131058 VIE131052:VIE131058 VSA131052:VSA131058 WBW131052:WBW131058 WLS131052:WLS131058 WVO131052:WVO131058 G196588:G196594 JC196588:JC196594 SY196588:SY196594 ACU196588:ACU196594 AMQ196588:AMQ196594 AWM196588:AWM196594 BGI196588:BGI196594 BQE196588:BQE196594 CAA196588:CAA196594 CJW196588:CJW196594 CTS196588:CTS196594 DDO196588:DDO196594 DNK196588:DNK196594 DXG196588:DXG196594 EHC196588:EHC196594 EQY196588:EQY196594 FAU196588:FAU196594 FKQ196588:FKQ196594 FUM196588:FUM196594 GEI196588:GEI196594 GOE196588:GOE196594 GYA196588:GYA196594 HHW196588:HHW196594 HRS196588:HRS196594 IBO196588:IBO196594 ILK196588:ILK196594 IVG196588:IVG196594 JFC196588:JFC196594 JOY196588:JOY196594 JYU196588:JYU196594 KIQ196588:KIQ196594 KSM196588:KSM196594 LCI196588:LCI196594 LME196588:LME196594 LWA196588:LWA196594 MFW196588:MFW196594 MPS196588:MPS196594 MZO196588:MZO196594 NJK196588:NJK196594 NTG196588:NTG196594 ODC196588:ODC196594 OMY196588:OMY196594 OWU196588:OWU196594 PGQ196588:PGQ196594 PQM196588:PQM196594 QAI196588:QAI196594 QKE196588:QKE196594 QUA196588:QUA196594 RDW196588:RDW196594 RNS196588:RNS196594 RXO196588:RXO196594 SHK196588:SHK196594 SRG196588:SRG196594 TBC196588:TBC196594 TKY196588:TKY196594 TUU196588:TUU196594 UEQ196588:UEQ196594 UOM196588:UOM196594 UYI196588:UYI196594 VIE196588:VIE196594 VSA196588:VSA196594 WBW196588:WBW196594 WLS196588:WLS196594 WVO196588:WVO196594 G262124:G262130 JC262124:JC262130 SY262124:SY262130 ACU262124:ACU262130 AMQ262124:AMQ262130 AWM262124:AWM262130 BGI262124:BGI262130 BQE262124:BQE262130 CAA262124:CAA262130 CJW262124:CJW262130 CTS262124:CTS262130 DDO262124:DDO262130 DNK262124:DNK262130 DXG262124:DXG262130 EHC262124:EHC262130 EQY262124:EQY262130 FAU262124:FAU262130 FKQ262124:FKQ262130 FUM262124:FUM262130 GEI262124:GEI262130 GOE262124:GOE262130 GYA262124:GYA262130 HHW262124:HHW262130 HRS262124:HRS262130 IBO262124:IBO262130 ILK262124:ILK262130 IVG262124:IVG262130 JFC262124:JFC262130 JOY262124:JOY262130 JYU262124:JYU262130 KIQ262124:KIQ262130 KSM262124:KSM262130 LCI262124:LCI262130 LME262124:LME262130 LWA262124:LWA262130 MFW262124:MFW262130 MPS262124:MPS262130 MZO262124:MZO262130 NJK262124:NJK262130 NTG262124:NTG262130 ODC262124:ODC262130 OMY262124:OMY262130 OWU262124:OWU262130 PGQ262124:PGQ262130 PQM262124:PQM262130 QAI262124:QAI262130 QKE262124:QKE262130 QUA262124:QUA262130 RDW262124:RDW262130 RNS262124:RNS262130 RXO262124:RXO262130 SHK262124:SHK262130 SRG262124:SRG262130 TBC262124:TBC262130 TKY262124:TKY262130 TUU262124:TUU262130 UEQ262124:UEQ262130 UOM262124:UOM262130 UYI262124:UYI262130 VIE262124:VIE262130 VSA262124:VSA262130 WBW262124:WBW262130 WLS262124:WLS262130 WVO262124:WVO262130 G327660:G327666 JC327660:JC327666 SY327660:SY327666 ACU327660:ACU327666 AMQ327660:AMQ327666 AWM327660:AWM327666 BGI327660:BGI327666 BQE327660:BQE327666 CAA327660:CAA327666 CJW327660:CJW327666 CTS327660:CTS327666 DDO327660:DDO327666 DNK327660:DNK327666 DXG327660:DXG327666 EHC327660:EHC327666 EQY327660:EQY327666 FAU327660:FAU327666 FKQ327660:FKQ327666 FUM327660:FUM327666 GEI327660:GEI327666 GOE327660:GOE327666 GYA327660:GYA327666 HHW327660:HHW327666 HRS327660:HRS327666 IBO327660:IBO327666 ILK327660:ILK327666 IVG327660:IVG327666 JFC327660:JFC327666 JOY327660:JOY327666 JYU327660:JYU327666 KIQ327660:KIQ327666 KSM327660:KSM327666 LCI327660:LCI327666 LME327660:LME327666 LWA327660:LWA327666 MFW327660:MFW327666 MPS327660:MPS327666 MZO327660:MZO327666 NJK327660:NJK327666 NTG327660:NTG327666 ODC327660:ODC327666 OMY327660:OMY327666 OWU327660:OWU327666 PGQ327660:PGQ327666 PQM327660:PQM327666 QAI327660:QAI327666 QKE327660:QKE327666 QUA327660:QUA327666 RDW327660:RDW327666 RNS327660:RNS327666 RXO327660:RXO327666 SHK327660:SHK327666 SRG327660:SRG327666 TBC327660:TBC327666 TKY327660:TKY327666 TUU327660:TUU327666 UEQ327660:UEQ327666 UOM327660:UOM327666 UYI327660:UYI327666 VIE327660:VIE327666 VSA327660:VSA327666 WBW327660:WBW327666 WLS327660:WLS327666 WVO327660:WVO327666 G393196:G393202 JC393196:JC393202 SY393196:SY393202 ACU393196:ACU393202 AMQ393196:AMQ393202 AWM393196:AWM393202 BGI393196:BGI393202 BQE393196:BQE393202 CAA393196:CAA393202 CJW393196:CJW393202 CTS393196:CTS393202 DDO393196:DDO393202 DNK393196:DNK393202 DXG393196:DXG393202 EHC393196:EHC393202 EQY393196:EQY393202 FAU393196:FAU393202 FKQ393196:FKQ393202 FUM393196:FUM393202 GEI393196:GEI393202 GOE393196:GOE393202 GYA393196:GYA393202 HHW393196:HHW393202 HRS393196:HRS393202 IBO393196:IBO393202 ILK393196:ILK393202 IVG393196:IVG393202 JFC393196:JFC393202 JOY393196:JOY393202 JYU393196:JYU393202 KIQ393196:KIQ393202 KSM393196:KSM393202 LCI393196:LCI393202 LME393196:LME393202 LWA393196:LWA393202 MFW393196:MFW393202 MPS393196:MPS393202 MZO393196:MZO393202 NJK393196:NJK393202 NTG393196:NTG393202 ODC393196:ODC393202 OMY393196:OMY393202 OWU393196:OWU393202 PGQ393196:PGQ393202 PQM393196:PQM393202 QAI393196:QAI393202 QKE393196:QKE393202 QUA393196:QUA393202 RDW393196:RDW393202 RNS393196:RNS393202 RXO393196:RXO393202 SHK393196:SHK393202 SRG393196:SRG393202 TBC393196:TBC393202 TKY393196:TKY393202 TUU393196:TUU393202 UEQ393196:UEQ393202 UOM393196:UOM393202 UYI393196:UYI393202 VIE393196:VIE393202 VSA393196:VSA393202 WBW393196:WBW393202 WLS393196:WLS393202 WVO393196:WVO393202 G458732:G458738 JC458732:JC458738 SY458732:SY458738 ACU458732:ACU458738 AMQ458732:AMQ458738 AWM458732:AWM458738 BGI458732:BGI458738 BQE458732:BQE458738 CAA458732:CAA458738 CJW458732:CJW458738 CTS458732:CTS458738 DDO458732:DDO458738 DNK458732:DNK458738 DXG458732:DXG458738 EHC458732:EHC458738 EQY458732:EQY458738 FAU458732:FAU458738 FKQ458732:FKQ458738 FUM458732:FUM458738 GEI458732:GEI458738 GOE458732:GOE458738 GYA458732:GYA458738 HHW458732:HHW458738 HRS458732:HRS458738 IBO458732:IBO458738 ILK458732:ILK458738 IVG458732:IVG458738 JFC458732:JFC458738 JOY458732:JOY458738 JYU458732:JYU458738 KIQ458732:KIQ458738 KSM458732:KSM458738 LCI458732:LCI458738 LME458732:LME458738 LWA458732:LWA458738 MFW458732:MFW458738 MPS458732:MPS458738 MZO458732:MZO458738 NJK458732:NJK458738 NTG458732:NTG458738 ODC458732:ODC458738 OMY458732:OMY458738 OWU458732:OWU458738 PGQ458732:PGQ458738 PQM458732:PQM458738 QAI458732:QAI458738 QKE458732:QKE458738 QUA458732:QUA458738 RDW458732:RDW458738 RNS458732:RNS458738 RXO458732:RXO458738 SHK458732:SHK458738 SRG458732:SRG458738 TBC458732:TBC458738 TKY458732:TKY458738 TUU458732:TUU458738 UEQ458732:UEQ458738 UOM458732:UOM458738 UYI458732:UYI458738 VIE458732:VIE458738 VSA458732:VSA458738 WBW458732:WBW458738 WLS458732:WLS458738 WVO458732:WVO458738 G524268:G524274 JC524268:JC524274 SY524268:SY524274 ACU524268:ACU524274 AMQ524268:AMQ524274 AWM524268:AWM524274 BGI524268:BGI524274 BQE524268:BQE524274 CAA524268:CAA524274 CJW524268:CJW524274 CTS524268:CTS524274 DDO524268:DDO524274 DNK524268:DNK524274 DXG524268:DXG524274 EHC524268:EHC524274 EQY524268:EQY524274 FAU524268:FAU524274 FKQ524268:FKQ524274 FUM524268:FUM524274 GEI524268:GEI524274 GOE524268:GOE524274 GYA524268:GYA524274 HHW524268:HHW524274 HRS524268:HRS524274 IBO524268:IBO524274 ILK524268:ILK524274 IVG524268:IVG524274 JFC524268:JFC524274 JOY524268:JOY524274 JYU524268:JYU524274 KIQ524268:KIQ524274 KSM524268:KSM524274 LCI524268:LCI524274 LME524268:LME524274 LWA524268:LWA524274 MFW524268:MFW524274 MPS524268:MPS524274 MZO524268:MZO524274 NJK524268:NJK524274 NTG524268:NTG524274 ODC524268:ODC524274 OMY524268:OMY524274 OWU524268:OWU524274 PGQ524268:PGQ524274 PQM524268:PQM524274 QAI524268:QAI524274 QKE524268:QKE524274 QUA524268:QUA524274 RDW524268:RDW524274 RNS524268:RNS524274 RXO524268:RXO524274 SHK524268:SHK524274 SRG524268:SRG524274 TBC524268:TBC524274 TKY524268:TKY524274 TUU524268:TUU524274 UEQ524268:UEQ524274 UOM524268:UOM524274 UYI524268:UYI524274 VIE524268:VIE524274 VSA524268:VSA524274 WBW524268:WBW524274 WLS524268:WLS524274 WVO524268:WVO524274 G589804:G589810 JC589804:JC589810 SY589804:SY589810 ACU589804:ACU589810 AMQ589804:AMQ589810 AWM589804:AWM589810 BGI589804:BGI589810 BQE589804:BQE589810 CAA589804:CAA589810 CJW589804:CJW589810 CTS589804:CTS589810 DDO589804:DDO589810 DNK589804:DNK589810 DXG589804:DXG589810 EHC589804:EHC589810 EQY589804:EQY589810 FAU589804:FAU589810 FKQ589804:FKQ589810 FUM589804:FUM589810 GEI589804:GEI589810 GOE589804:GOE589810 GYA589804:GYA589810 HHW589804:HHW589810 HRS589804:HRS589810 IBO589804:IBO589810 ILK589804:ILK589810 IVG589804:IVG589810 JFC589804:JFC589810 JOY589804:JOY589810 JYU589804:JYU589810 KIQ589804:KIQ589810 KSM589804:KSM589810 LCI589804:LCI589810 LME589804:LME589810 LWA589804:LWA589810 MFW589804:MFW589810 MPS589804:MPS589810 MZO589804:MZO589810 NJK589804:NJK589810 NTG589804:NTG589810 ODC589804:ODC589810 OMY589804:OMY589810 OWU589804:OWU589810 PGQ589804:PGQ589810 PQM589804:PQM589810 QAI589804:QAI589810 QKE589804:QKE589810 QUA589804:QUA589810 RDW589804:RDW589810 RNS589804:RNS589810 RXO589804:RXO589810 SHK589804:SHK589810 SRG589804:SRG589810 TBC589804:TBC589810 TKY589804:TKY589810 TUU589804:TUU589810 UEQ589804:UEQ589810 UOM589804:UOM589810 UYI589804:UYI589810 VIE589804:VIE589810 VSA589804:VSA589810 WBW589804:WBW589810 WLS589804:WLS589810 WVO589804:WVO589810 G655340:G655346 JC655340:JC655346 SY655340:SY655346 ACU655340:ACU655346 AMQ655340:AMQ655346 AWM655340:AWM655346 BGI655340:BGI655346 BQE655340:BQE655346 CAA655340:CAA655346 CJW655340:CJW655346 CTS655340:CTS655346 DDO655340:DDO655346 DNK655340:DNK655346 DXG655340:DXG655346 EHC655340:EHC655346 EQY655340:EQY655346 FAU655340:FAU655346 FKQ655340:FKQ655346 FUM655340:FUM655346 GEI655340:GEI655346 GOE655340:GOE655346 GYA655340:GYA655346 HHW655340:HHW655346 HRS655340:HRS655346 IBO655340:IBO655346 ILK655340:ILK655346 IVG655340:IVG655346 JFC655340:JFC655346 JOY655340:JOY655346 JYU655340:JYU655346 KIQ655340:KIQ655346 KSM655340:KSM655346 LCI655340:LCI655346 LME655340:LME655346 LWA655340:LWA655346 MFW655340:MFW655346 MPS655340:MPS655346 MZO655340:MZO655346 NJK655340:NJK655346 NTG655340:NTG655346 ODC655340:ODC655346 OMY655340:OMY655346 OWU655340:OWU655346 PGQ655340:PGQ655346 PQM655340:PQM655346 QAI655340:QAI655346 QKE655340:QKE655346 QUA655340:QUA655346 RDW655340:RDW655346 RNS655340:RNS655346 RXO655340:RXO655346 SHK655340:SHK655346 SRG655340:SRG655346 TBC655340:TBC655346 TKY655340:TKY655346 TUU655340:TUU655346 UEQ655340:UEQ655346 UOM655340:UOM655346 UYI655340:UYI655346 VIE655340:VIE655346 VSA655340:VSA655346 WBW655340:WBW655346 WLS655340:WLS655346 WVO655340:WVO655346 G720876:G720882 JC720876:JC720882 SY720876:SY720882 ACU720876:ACU720882 AMQ720876:AMQ720882 AWM720876:AWM720882 BGI720876:BGI720882 BQE720876:BQE720882 CAA720876:CAA720882 CJW720876:CJW720882 CTS720876:CTS720882 DDO720876:DDO720882 DNK720876:DNK720882 DXG720876:DXG720882 EHC720876:EHC720882 EQY720876:EQY720882 FAU720876:FAU720882 FKQ720876:FKQ720882 FUM720876:FUM720882 GEI720876:GEI720882 GOE720876:GOE720882 GYA720876:GYA720882 HHW720876:HHW720882 HRS720876:HRS720882 IBO720876:IBO720882 ILK720876:ILK720882 IVG720876:IVG720882 JFC720876:JFC720882 JOY720876:JOY720882 JYU720876:JYU720882 KIQ720876:KIQ720882 KSM720876:KSM720882 LCI720876:LCI720882 LME720876:LME720882 LWA720876:LWA720882 MFW720876:MFW720882 MPS720876:MPS720882 MZO720876:MZO720882 NJK720876:NJK720882 NTG720876:NTG720882 ODC720876:ODC720882 OMY720876:OMY720882 OWU720876:OWU720882 PGQ720876:PGQ720882 PQM720876:PQM720882 QAI720876:QAI720882 QKE720876:QKE720882 QUA720876:QUA720882 RDW720876:RDW720882 RNS720876:RNS720882 RXO720876:RXO720882 SHK720876:SHK720882 SRG720876:SRG720882 TBC720876:TBC720882 TKY720876:TKY720882 TUU720876:TUU720882 UEQ720876:UEQ720882 UOM720876:UOM720882 UYI720876:UYI720882 VIE720876:VIE720882 VSA720876:VSA720882 WBW720876:WBW720882 WLS720876:WLS720882 WVO720876:WVO720882 G786412:G786418 JC786412:JC786418 SY786412:SY786418 ACU786412:ACU786418 AMQ786412:AMQ786418 AWM786412:AWM786418 BGI786412:BGI786418 BQE786412:BQE786418 CAA786412:CAA786418 CJW786412:CJW786418 CTS786412:CTS786418 DDO786412:DDO786418 DNK786412:DNK786418 DXG786412:DXG786418 EHC786412:EHC786418 EQY786412:EQY786418 FAU786412:FAU786418 FKQ786412:FKQ786418 FUM786412:FUM786418 GEI786412:GEI786418 GOE786412:GOE786418 GYA786412:GYA786418 HHW786412:HHW786418 HRS786412:HRS786418 IBO786412:IBO786418 ILK786412:ILK786418 IVG786412:IVG786418 JFC786412:JFC786418 JOY786412:JOY786418 JYU786412:JYU786418 KIQ786412:KIQ786418 KSM786412:KSM786418 LCI786412:LCI786418 LME786412:LME786418 LWA786412:LWA786418 MFW786412:MFW786418 MPS786412:MPS786418 MZO786412:MZO786418 NJK786412:NJK786418 NTG786412:NTG786418 ODC786412:ODC786418 OMY786412:OMY786418 OWU786412:OWU786418 PGQ786412:PGQ786418 PQM786412:PQM786418 QAI786412:QAI786418 QKE786412:QKE786418 QUA786412:QUA786418 RDW786412:RDW786418 RNS786412:RNS786418 RXO786412:RXO786418 SHK786412:SHK786418 SRG786412:SRG786418 TBC786412:TBC786418 TKY786412:TKY786418 TUU786412:TUU786418 UEQ786412:UEQ786418 UOM786412:UOM786418 UYI786412:UYI786418 VIE786412:VIE786418 VSA786412:VSA786418 WBW786412:WBW786418 WLS786412:WLS786418 WVO786412:WVO786418 G851948:G851954 JC851948:JC851954 SY851948:SY851954 ACU851948:ACU851954 AMQ851948:AMQ851954 AWM851948:AWM851954 BGI851948:BGI851954 BQE851948:BQE851954 CAA851948:CAA851954 CJW851948:CJW851954 CTS851948:CTS851954 DDO851948:DDO851954 DNK851948:DNK851954 DXG851948:DXG851954 EHC851948:EHC851954 EQY851948:EQY851954 FAU851948:FAU851954 FKQ851948:FKQ851954 FUM851948:FUM851954 GEI851948:GEI851954 GOE851948:GOE851954 GYA851948:GYA851954 HHW851948:HHW851954 HRS851948:HRS851954 IBO851948:IBO851954 ILK851948:ILK851954 IVG851948:IVG851954 JFC851948:JFC851954 JOY851948:JOY851954 JYU851948:JYU851954 KIQ851948:KIQ851954 KSM851948:KSM851954 LCI851948:LCI851954 LME851948:LME851954 LWA851948:LWA851954 MFW851948:MFW851954 MPS851948:MPS851954 MZO851948:MZO851954 NJK851948:NJK851954 NTG851948:NTG851954 ODC851948:ODC851954 OMY851948:OMY851954 OWU851948:OWU851954 PGQ851948:PGQ851954 PQM851948:PQM851954 QAI851948:QAI851954 QKE851948:QKE851954 QUA851948:QUA851954 RDW851948:RDW851954 RNS851948:RNS851954 RXO851948:RXO851954 SHK851948:SHK851954 SRG851948:SRG851954 TBC851948:TBC851954 TKY851948:TKY851954 TUU851948:TUU851954 UEQ851948:UEQ851954 UOM851948:UOM851954 UYI851948:UYI851954 VIE851948:VIE851954 VSA851948:VSA851954 WBW851948:WBW851954 WLS851948:WLS851954 WVO851948:WVO851954 G917484:G917490 JC917484:JC917490 SY917484:SY917490 ACU917484:ACU917490 AMQ917484:AMQ917490 AWM917484:AWM917490 BGI917484:BGI917490 BQE917484:BQE917490 CAA917484:CAA917490 CJW917484:CJW917490 CTS917484:CTS917490 DDO917484:DDO917490 DNK917484:DNK917490 DXG917484:DXG917490 EHC917484:EHC917490 EQY917484:EQY917490 FAU917484:FAU917490 FKQ917484:FKQ917490 FUM917484:FUM917490 GEI917484:GEI917490 GOE917484:GOE917490 GYA917484:GYA917490 HHW917484:HHW917490 HRS917484:HRS917490 IBO917484:IBO917490 ILK917484:ILK917490 IVG917484:IVG917490 JFC917484:JFC917490 JOY917484:JOY917490 JYU917484:JYU917490 KIQ917484:KIQ917490 KSM917484:KSM917490 LCI917484:LCI917490 LME917484:LME917490 LWA917484:LWA917490 MFW917484:MFW917490 MPS917484:MPS917490 MZO917484:MZO917490 NJK917484:NJK917490 NTG917484:NTG917490 ODC917484:ODC917490 OMY917484:OMY917490 OWU917484:OWU917490 PGQ917484:PGQ917490 PQM917484:PQM917490 QAI917484:QAI917490 QKE917484:QKE917490 QUA917484:QUA917490 RDW917484:RDW917490 RNS917484:RNS917490 RXO917484:RXO917490 SHK917484:SHK917490 SRG917484:SRG917490 TBC917484:TBC917490 TKY917484:TKY917490 TUU917484:TUU917490 UEQ917484:UEQ917490 UOM917484:UOM917490 UYI917484:UYI917490 VIE917484:VIE917490 VSA917484:VSA917490 WBW917484:WBW917490 WLS917484:WLS917490 WVO917484:WVO917490 G983020:G983026 JC983020:JC983026 SY983020:SY983026 ACU983020:ACU983026 AMQ983020:AMQ983026 AWM983020:AWM983026 BGI983020:BGI983026 BQE983020:BQE983026 CAA983020:CAA983026 CJW983020:CJW983026 CTS983020:CTS983026 DDO983020:DDO983026 DNK983020:DNK983026 DXG983020:DXG983026 EHC983020:EHC983026 EQY983020:EQY983026 FAU983020:FAU983026 FKQ983020:FKQ983026 FUM983020:FUM983026 GEI983020:GEI983026 GOE983020:GOE983026 GYA983020:GYA983026 HHW983020:HHW983026 HRS983020:HRS983026 IBO983020:IBO983026 ILK983020:ILK983026 IVG983020:IVG983026 JFC983020:JFC983026 JOY983020:JOY983026 JYU983020:JYU983026 KIQ983020:KIQ983026 KSM983020:KSM983026 LCI983020:LCI983026 LME983020:LME983026 LWA983020:LWA983026 MFW983020:MFW983026 MPS983020:MPS983026 MZO983020:MZO983026 NJK983020:NJK983026 NTG983020:NTG983026 ODC983020:ODC983026 OMY983020:OMY983026 OWU983020:OWU983026 PGQ983020:PGQ983026 PQM983020:PQM983026 QAI983020:QAI983026 QKE983020:QKE983026 QUA983020:QUA983026 RDW983020:RDW983026 RNS983020:RNS983026 RXO983020:RXO983026 SHK983020:SHK983026 SRG983020:SRG983026 TBC983020:TBC983026 TKY983020:TKY983026 TUU983020:TUU983026 UEQ983020:UEQ983026 UOM983020:UOM983026 UYI983020:UYI983026 VIE983020:VIE983026 VSA983020:VSA983026 WBW983020:WBW983026 WLS983020:WLS983026 WVO983020:WVO983026 G26:H36 JC26:JD36 SY26:SZ36 ACU26:ACV36 AMQ26:AMR36 AWM26:AWN36 BGI26:BGJ36 BQE26:BQF36 CAA26:CAB36 CJW26:CJX36 CTS26:CTT36 DDO26:DDP36 DNK26:DNL36 DXG26:DXH36 EHC26:EHD36 EQY26:EQZ36 FAU26:FAV36 FKQ26:FKR36 FUM26:FUN36 GEI26:GEJ36 GOE26:GOF36 GYA26:GYB36 HHW26:HHX36 HRS26:HRT36 IBO26:IBP36 ILK26:ILL36 IVG26:IVH36 JFC26:JFD36 JOY26:JOZ36 JYU26:JYV36 KIQ26:KIR36 KSM26:KSN36 LCI26:LCJ36 LME26:LMF36 LWA26:LWB36 MFW26:MFX36 MPS26:MPT36 MZO26:MZP36 NJK26:NJL36 NTG26:NTH36 ODC26:ODD36 OMY26:OMZ36 OWU26:OWV36 PGQ26:PGR36 PQM26:PQN36 QAI26:QAJ36 QKE26:QKF36 QUA26:QUB36 RDW26:RDX36 RNS26:RNT36 RXO26:RXP36 SHK26:SHL36 SRG26:SRH36 TBC26:TBD36 TKY26:TKZ36 TUU26:TUV36 UEQ26:UER36 UOM26:UON36 UYI26:UYJ36 VIE26:VIF36 VSA26:VSB36 WBW26:WBX36 WLS26:WLT36 WVO26:WVP36 G65498:H65508 JC65498:JD65508 SY65498:SZ65508 ACU65498:ACV65508 AMQ65498:AMR65508 AWM65498:AWN65508 BGI65498:BGJ65508 BQE65498:BQF65508 CAA65498:CAB65508 CJW65498:CJX65508 CTS65498:CTT65508 DDO65498:DDP65508 DNK65498:DNL65508 DXG65498:DXH65508 EHC65498:EHD65508 EQY65498:EQZ65508 FAU65498:FAV65508 FKQ65498:FKR65508 FUM65498:FUN65508 GEI65498:GEJ65508 GOE65498:GOF65508 GYA65498:GYB65508 HHW65498:HHX65508 HRS65498:HRT65508 IBO65498:IBP65508 ILK65498:ILL65508 IVG65498:IVH65508 JFC65498:JFD65508 JOY65498:JOZ65508 JYU65498:JYV65508 KIQ65498:KIR65508 KSM65498:KSN65508 LCI65498:LCJ65508 LME65498:LMF65508 LWA65498:LWB65508 MFW65498:MFX65508 MPS65498:MPT65508 MZO65498:MZP65508 NJK65498:NJL65508 NTG65498:NTH65508 ODC65498:ODD65508 OMY65498:OMZ65508 OWU65498:OWV65508 PGQ65498:PGR65508 PQM65498:PQN65508 QAI65498:QAJ65508 QKE65498:QKF65508 QUA65498:QUB65508 RDW65498:RDX65508 RNS65498:RNT65508 RXO65498:RXP65508 SHK65498:SHL65508 SRG65498:SRH65508 TBC65498:TBD65508 TKY65498:TKZ65508 TUU65498:TUV65508 UEQ65498:UER65508 UOM65498:UON65508 UYI65498:UYJ65508 VIE65498:VIF65508 VSA65498:VSB65508 WBW65498:WBX65508 WLS65498:WLT65508 WVO65498:WVP65508 G131034:H131044 JC131034:JD131044 SY131034:SZ131044 ACU131034:ACV131044 AMQ131034:AMR131044 AWM131034:AWN131044 BGI131034:BGJ131044 BQE131034:BQF131044 CAA131034:CAB131044 CJW131034:CJX131044 CTS131034:CTT131044 DDO131034:DDP131044 DNK131034:DNL131044 DXG131034:DXH131044 EHC131034:EHD131044 EQY131034:EQZ131044 FAU131034:FAV131044 FKQ131034:FKR131044 FUM131034:FUN131044 GEI131034:GEJ131044 GOE131034:GOF131044 GYA131034:GYB131044 HHW131034:HHX131044 HRS131034:HRT131044 IBO131034:IBP131044 ILK131034:ILL131044 IVG131034:IVH131044 JFC131034:JFD131044 JOY131034:JOZ131044 JYU131034:JYV131044 KIQ131034:KIR131044 KSM131034:KSN131044 LCI131034:LCJ131044 LME131034:LMF131044 LWA131034:LWB131044 MFW131034:MFX131044 MPS131034:MPT131044 MZO131034:MZP131044 NJK131034:NJL131044 NTG131034:NTH131044 ODC131034:ODD131044 OMY131034:OMZ131044 OWU131034:OWV131044 PGQ131034:PGR131044 PQM131034:PQN131044 QAI131034:QAJ131044 QKE131034:QKF131044 QUA131034:QUB131044 RDW131034:RDX131044 RNS131034:RNT131044 RXO131034:RXP131044 SHK131034:SHL131044 SRG131034:SRH131044 TBC131034:TBD131044 TKY131034:TKZ131044 TUU131034:TUV131044 UEQ131034:UER131044 UOM131034:UON131044 UYI131034:UYJ131044 VIE131034:VIF131044 VSA131034:VSB131044 WBW131034:WBX131044 WLS131034:WLT131044 WVO131034:WVP131044 G196570:H196580 JC196570:JD196580 SY196570:SZ196580 ACU196570:ACV196580 AMQ196570:AMR196580 AWM196570:AWN196580 BGI196570:BGJ196580 BQE196570:BQF196580 CAA196570:CAB196580 CJW196570:CJX196580 CTS196570:CTT196580 DDO196570:DDP196580 DNK196570:DNL196580 DXG196570:DXH196580 EHC196570:EHD196580 EQY196570:EQZ196580 FAU196570:FAV196580 FKQ196570:FKR196580 FUM196570:FUN196580 GEI196570:GEJ196580 GOE196570:GOF196580 GYA196570:GYB196580 HHW196570:HHX196580 HRS196570:HRT196580 IBO196570:IBP196580 ILK196570:ILL196580 IVG196570:IVH196580 JFC196570:JFD196580 JOY196570:JOZ196580 JYU196570:JYV196580 KIQ196570:KIR196580 KSM196570:KSN196580 LCI196570:LCJ196580 LME196570:LMF196580 LWA196570:LWB196580 MFW196570:MFX196580 MPS196570:MPT196580 MZO196570:MZP196580 NJK196570:NJL196580 NTG196570:NTH196580 ODC196570:ODD196580 OMY196570:OMZ196580 OWU196570:OWV196580 PGQ196570:PGR196580 PQM196570:PQN196580 QAI196570:QAJ196580 QKE196570:QKF196580 QUA196570:QUB196580 RDW196570:RDX196580 RNS196570:RNT196580 RXO196570:RXP196580 SHK196570:SHL196580 SRG196570:SRH196580 TBC196570:TBD196580 TKY196570:TKZ196580 TUU196570:TUV196580 UEQ196570:UER196580 UOM196570:UON196580 UYI196570:UYJ196580 VIE196570:VIF196580 VSA196570:VSB196580 WBW196570:WBX196580 WLS196570:WLT196580 WVO196570:WVP196580 G262106:H262116 JC262106:JD262116 SY262106:SZ262116 ACU262106:ACV262116 AMQ262106:AMR262116 AWM262106:AWN262116 BGI262106:BGJ262116 BQE262106:BQF262116 CAA262106:CAB262116 CJW262106:CJX262116 CTS262106:CTT262116 DDO262106:DDP262116 DNK262106:DNL262116 DXG262106:DXH262116 EHC262106:EHD262116 EQY262106:EQZ262116 FAU262106:FAV262116 FKQ262106:FKR262116 FUM262106:FUN262116 GEI262106:GEJ262116 GOE262106:GOF262116 GYA262106:GYB262116 HHW262106:HHX262116 HRS262106:HRT262116 IBO262106:IBP262116 ILK262106:ILL262116 IVG262106:IVH262116 JFC262106:JFD262116 JOY262106:JOZ262116 JYU262106:JYV262116 KIQ262106:KIR262116 KSM262106:KSN262116 LCI262106:LCJ262116 LME262106:LMF262116 LWA262106:LWB262116 MFW262106:MFX262116 MPS262106:MPT262116 MZO262106:MZP262116 NJK262106:NJL262116 NTG262106:NTH262116 ODC262106:ODD262116 OMY262106:OMZ262116 OWU262106:OWV262116 PGQ262106:PGR262116 PQM262106:PQN262116 QAI262106:QAJ262116 QKE262106:QKF262116 QUA262106:QUB262116 RDW262106:RDX262116 RNS262106:RNT262116 RXO262106:RXP262116 SHK262106:SHL262116 SRG262106:SRH262116 TBC262106:TBD262116 TKY262106:TKZ262116 TUU262106:TUV262116 UEQ262106:UER262116 UOM262106:UON262116 UYI262106:UYJ262116 VIE262106:VIF262116 VSA262106:VSB262116 WBW262106:WBX262116 WLS262106:WLT262116 WVO262106:WVP262116 G327642:H327652 JC327642:JD327652 SY327642:SZ327652 ACU327642:ACV327652 AMQ327642:AMR327652 AWM327642:AWN327652 BGI327642:BGJ327652 BQE327642:BQF327652 CAA327642:CAB327652 CJW327642:CJX327652 CTS327642:CTT327652 DDO327642:DDP327652 DNK327642:DNL327652 DXG327642:DXH327652 EHC327642:EHD327652 EQY327642:EQZ327652 FAU327642:FAV327652 FKQ327642:FKR327652 FUM327642:FUN327652 GEI327642:GEJ327652 GOE327642:GOF327652 GYA327642:GYB327652 HHW327642:HHX327652 HRS327642:HRT327652 IBO327642:IBP327652 ILK327642:ILL327652 IVG327642:IVH327652 JFC327642:JFD327652 JOY327642:JOZ327652 JYU327642:JYV327652 KIQ327642:KIR327652 KSM327642:KSN327652 LCI327642:LCJ327652 LME327642:LMF327652 LWA327642:LWB327652 MFW327642:MFX327652 MPS327642:MPT327652 MZO327642:MZP327652 NJK327642:NJL327652 NTG327642:NTH327652 ODC327642:ODD327652 OMY327642:OMZ327652 OWU327642:OWV327652 PGQ327642:PGR327652 PQM327642:PQN327652 QAI327642:QAJ327652 QKE327642:QKF327652 QUA327642:QUB327652 RDW327642:RDX327652 RNS327642:RNT327652 RXO327642:RXP327652 SHK327642:SHL327652 SRG327642:SRH327652 TBC327642:TBD327652 TKY327642:TKZ327652 TUU327642:TUV327652 UEQ327642:UER327652 UOM327642:UON327652 UYI327642:UYJ327652 VIE327642:VIF327652 VSA327642:VSB327652 WBW327642:WBX327652 WLS327642:WLT327652 WVO327642:WVP327652 G393178:H393188 JC393178:JD393188 SY393178:SZ393188 ACU393178:ACV393188 AMQ393178:AMR393188 AWM393178:AWN393188 BGI393178:BGJ393188 BQE393178:BQF393188 CAA393178:CAB393188 CJW393178:CJX393188 CTS393178:CTT393188 DDO393178:DDP393188 DNK393178:DNL393188 DXG393178:DXH393188 EHC393178:EHD393188 EQY393178:EQZ393188 FAU393178:FAV393188 FKQ393178:FKR393188 FUM393178:FUN393188 GEI393178:GEJ393188 GOE393178:GOF393188 GYA393178:GYB393188 HHW393178:HHX393188 HRS393178:HRT393188 IBO393178:IBP393188 ILK393178:ILL393188 IVG393178:IVH393188 JFC393178:JFD393188 JOY393178:JOZ393188 JYU393178:JYV393188 KIQ393178:KIR393188 KSM393178:KSN393188 LCI393178:LCJ393188 LME393178:LMF393188 LWA393178:LWB393188 MFW393178:MFX393188 MPS393178:MPT393188 MZO393178:MZP393188 NJK393178:NJL393188 NTG393178:NTH393188 ODC393178:ODD393188 OMY393178:OMZ393188 OWU393178:OWV393188 PGQ393178:PGR393188 PQM393178:PQN393188 QAI393178:QAJ393188 QKE393178:QKF393188 QUA393178:QUB393188 RDW393178:RDX393188 RNS393178:RNT393188 RXO393178:RXP393188 SHK393178:SHL393188 SRG393178:SRH393188 TBC393178:TBD393188 TKY393178:TKZ393188 TUU393178:TUV393188 UEQ393178:UER393188 UOM393178:UON393188 UYI393178:UYJ393188 VIE393178:VIF393188 VSA393178:VSB393188 WBW393178:WBX393188 WLS393178:WLT393188 WVO393178:WVP393188 G458714:H458724 JC458714:JD458724 SY458714:SZ458724 ACU458714:ACV458724 AMQ458714:AMR458724 AWM458714:AWN458724 BGI458714:BGJ458724 BQE458714:BQF458724 CAA458714:CAB458724 CJW458714:CJX458724 CTS458714:CTT458724 DDO458714:DDP458724 DNK458714:DNL458724 DXG458714:DXH458724 EHC458714:EHD458724 EQY458714:EQZ458724 FAU458714:FAV458724 FKQ458714:FKR458724 FUM458714:FUN458724 GEI458714:GEJ458724 GOE458714:GOF458724 GYA458714:GYB458724 HHW458714:HHX458724 HRS458714:HRT458724 IBO458714:IBP458724 ILK458714:ILL458724 IVG458714:IVH458724 JFC458714:JFD458724 JOY458714:JOZ458724 JYU458714:JYV458724 KIQ458714:KIR458724 KSM458714:KSN458724 LCI458714:LCJ458724 LME458714:LMF458724 LWA458714:LWB458724 MFW458714:MFX458724 MPS458714:MPT458724 MZO458714:MZP458724 NJK458714:NJL458724 NTG458714:NTH458724 ODC458714:ODD458724 OMY458714:OMZ458724 OWU458714:OWV458724 PGQ458714:PGR458724 PQM458714:PQN458724 QAI458714:QAJ458724 QKE458714:QKF458724 QUA458714:QUB458724 RDW458714:RDX458724 RNS458714:RNT458724 RXO458714:RXP458724 SHK458714:SHL458724 SRG458714:SRH458724 TBC458714:TBD458724 TKY458714:TKZ458724 TUU458714:TUV458724 UEQ458714:UER458724 UOM458714:UON458724 UYI458714:UYJ458724 VIE458714:VIF458724 VSA458714:VSB458724 WBW458714:WBX458724 WLS458714:WLT458724 WVO458714:WVP458724 G524250:H524260 JC524250:JD524260 SY524250:SZ524260 ACU524250:ACV524260 AMQ524250:AMR524260 AWM524250:AWN524260 BGI524250:BGJ524260 BQE524250:BQF524260 CAA524250:CAB524260 CJW524250:CJX524260 CTS524250:CTT524260 DDO524250:DDP524260 DNK524250:DNL524260 DXG524250:DXH524260 EHC524250:EHD524260 EQY524250:EQZ524260 FAU524250:FAV524260 FKQ524250:FKR524260 FUM524250:FUN524260 GEI524250:GEJ524260 GOE524250:GOF524260 GYA524250:GYB524260 HHW524250:HHX524260 HRS524250:HRT524260 IBO524250:IBP524260 ILK524250:ILL524260 IVG524250:IVH524260 JFC524250:JFD524260 JOY524250:JOZ524260 JYU524250:JYV524260 KIQ524250:KIR524260 KSM524250:KSN524260 LCI524250:LCJ524260 LME524250:LMF524260 LWA524250:LWB524260 MFW524250:MFX524260 MPS524250:MPT524260 MZO524250:MZP524260 NJK524250:NJL524260 NTG524250:NTH524260 ODC524250:ODD524260 OMY524250:OMZ524260 OWU524250:OWV524260 PGQ524250:PGR524260 PQM524250:PQN524260 QAI524250:QAJ524260 QKE524250:QKF524260 QUA524250:QUB524260 RDW524250:RDX524260 RNS524250:RNT524260 RXO524250:RXP524260 SHK524250:SHL524260 SRG524250:SRH524260 TBC524250:TBD524260 TKY524250:TKZ524260 TUU524250:TUV524260 UEQ524250:UER524260 UOM524250:UON524260 UYI524250:UYJ524260 VIE524250:VIF524260 VSA524250:VSB524260 WBW524250:WBX524260 WLS524250:WLT524260 WVO524250:WVP524260 G589786:H589796 JC589786:JD589796 SY589786:SZ589796 ACU589786:ACV589796 AMQ589786:AMR589796 AWM589786:AWN589796 BGI589786:BGJ589796 BQE589786:BQF589796 CAA589786:CAB589796 CJW589786:CJX589796 CTS589786:CTT589796 DDO589786:DDP589796 DNK589786:DNL589796 DXG589786:DXH589796 EHC589786:EHD589796 EQY589786:EQZ589796 FAU589786:FAV589796 FKQ589786:FKR589796 FUM589786:FUN589796 GEI589786:GEJ589796 GOE589786:GOF589796 GYA589786:GYB589796 HHW589786:HHX589796 HRS589786:HRT589796 IBO589786:IBP589796 ILK589786:ILL589796 IVG589786:IVH589796 JFC589786:JFD589796 JOY589786:JOZ589796 JYU589786:JYV589796 KIQ589786:KIR589796 KSM589786:KSN589796 LCI589786:LCJ589796 LME589786:LMF589796 LWA589786:LWB589796 MFW589786:MFX589796 MPS589786:MPT589796 MZO589786:MZP589796 NJK589786:NJL589796 NTG589786:NTH589796 ODC589786:ODD589796 OMY589786:OMZ589796 OWU589786:OWV589796 PGQ589786:PGR589796 PQM589786:PQN589796 QAI589786:QAJ589796 QKE589786:QKF589796 QUA589786:QUB589796 RDW589786:RDX589796 RNS589786:RNT589796 RXO589786:RXP589796 SHK589786:SHL589796 SRG589786:SRH589796 TBC589786:TBD589796 TKY589786:TKZ589796 TUU589786:TUV589796 UEQ589786:UER589796 UOM589786:UON589796 UYI589786:UYJ589796 VIE589786:VIF589796 VSA589786:VSB589796 WBW589786:WBX589796 WLS589786:WLT589796 WVO589786:WVP589796 G655322:H655332 JC655322:JD655332 SY655322:SZ655332 ACU655322:ACV655332 AMQ655322:AMR655332 AWM655322:AWN655332 BGI655322:BGJ655332 BQE655322:BQF655332 CAA655322:CAB655332 CJW655322:CJX655332 CTS655322:CTT655332 DDO655322:DDP655332 DNK655322:DNL655332 DXG655322:DXH655332 EHC655322:EHD655332 EQY655322:EQZ655332 FAU655322:FAV655332 FKQ655322:FKR655332 FUM655322:FUN655332 GEI655322:GEJ655332 GOE655322:GOF655332 GYA655322:GYB655332 HHW655322:HHX655332 HRS655322:HRT655332 IBO655322:IBP655332 ILK655322:ILL655332 IVG655322:IVH655332 JFC655322:JFD655332 JOY655322:JOZ655332 JYU655322:JYV655332 KIQ655322:KIR655332 KSM655322:KSN655332 LCI655322:LCJ655332 LME655322:LMF655332 LWA655322:LWB655332 MFW655322:MFX655332 MPS655322:MPT655332 MZO655322:MZP655332 NJK655322:NJL655332 NTG655322:NTH655332 ODC655322:ODD655332 OMY655322:OMZ655332 OWU655322:OWV655332 PGQ655322:PGR655332 PQM655322:PQN655332 QAI655322:QAJ655332 QKE655322:QKF655332 QUA655322:QUB655332 RDW655322:RDX655332 RNS655322:RNT655332 RXO655322:RXP655332 SHK655322:SHL655332 SRG655322:SRH655332 TBC655322:TBD655332 TKY655322:TKZ655332 TUU655322:TUV655332 UEQ655322:UER655332 UOM655322:UON655332 UYI655322:UYJ655332 VIE655322:VIF655332 VSA655322:VSB655332 WBW655322:WBX655332 WLS655322:WLT655332 WVO655322:WVP655332 G720858:H720868 JC720858:JD720868 SY720858:SZ720868 ACU720858:ACV720868 AMQ720858:AMR720868 AWM720858:AWN720868 BGI720858:BGJ720868 BQE720858:BQF720868 CAA720858:CAB720868 CJW720858:CJX720868 CTS720858:CTT720868 DDO720858:DDP720868 DNK720858:DNL720868 DXG720858:DXH720868 EHC720858:EHD720868 EQY720858:EQZ720868 FAU720858:FAV720868 FKQ720858:FKR720868 FUM720858:FUN720868 GEI720858:GEJ720868 GOE720858:GOF720868 GYA720858:GYB720868 HHW720858:HHX720868 HRS720858:HRT720868 IBO720858:IBP720868 ILK720858:ILL720868 IVG720858:IVH720868 JFC720858:JFD720868 JOY720858:JOZ720868 JYU720858:JYV720868 KIQ720858:KIR720868 KSM720858:KSN720868 LCI720858:LCJ720868 LME720858:LMF720868 LWA720858:LWB720868 MFW720858:MFX720868 MPS720858:MPT720868 MZO720858:MZP720868 NJK720858:NJL720868 NTG720858:NTH720868 ODC720858:ODD720868 OMY720858:OMZ720868 OWU720858:OWV720868 PGQ720858:PGR720868 PQM720858:PQN720868 QAI720858:QAJ720868 QKE720858:QKF720868 QUA720858:QUB720868 RDW720858:RDX720868 RNS720858:RNT720868 RXO720858:RXP720868 SHK720858:SHL720868 SRG720858:SRH720868 TBC720858:TBD720868 TKY720858:TKZ720868 TUU720858:TUV720868 UEQ720858:UER720868 UOM720858:UON720868 UYI720858:UYJ720868 VIE720858:VIF720868 VSA720858:VSB720868 WBW720858:WBX720868 WLS720858:WLT720868 WVO720858:WVP720868 G786394:H786404 JC786394:JD786404 SY786394:SZ786404 ACU786394:ACV786404 AMQ786394:AMR786404 AWM786394:AWN786404 BGI786394:BGJ786404 BQE786394:BQF786404 CAA786394:CAB786404 CJW786394:CJX786404 CTS786394:CTT786404 DDO786394:DDP786404 DNK786394:DNL786404 DXG786394:DXH786404 EHC786394:EHD786404 EQY786394:EQZ786404 FAU786394:FAV786404 FKQ786394:FKR786404 FUM786394:FUN786404 GEI786394:GEJ786404 GOE786394:GOF786404 GYA786394:GYB786404 HHW786394:HHX786404 HRS786394:HRT786404 IBO786394:IBP786404 ILK786394:ILL786404 IVG786394:IVH786404 JFC786394:JFD786404 JOY786394:JOZ786404 JYU786394:JYV786404 KIQ786394:KIR786404 KSM786394:KSN786404 LCI786394:LCJ786404 LME786394:LMF786404 LWA786394:LWB786404 MFW786394:MFX786404 MPS786394:MPT786404 MZO786394:MZP786404 NJK786394:NJL786404 NTG786394:NTH786404 ODC786394:ODD786404 OMY786394:OMZ786404 OWU786394:OWV786404 PGQ786394:PGR786404 PQM786394:PQN786404 QAI786394:QAJ786404 QKE786394:QKF786404 QUA786394:QUB786404 RDW786394:RDX786404 RNS786394:RNT786404 RXO786394:RXP786404 SHK786394:SHL786404 SRG786394:SRH786404 TBC786394:TBD786404 TKY786394:TKZ786404 TUU786394:TUV786404 UEQ786394:UER786404 UOM786394:UON786404 UYI786394:UYJ786404 VIE786394:VIF786404 VSA786394:VSB786404 WBW786394:WBX786404 WLS786394:WLT786404 WVO786394:WVP786404 G851930:H851940 JC851930:JD851940 SY851930:SZ851940 ACU851930:ACV851940 AMQ851930:AMR851940 AWM851930:AWN851940 BGI851930:BGJ851940 BQE851930:BQF851940 CAA851930:CAB851940 CJW851930:CJX851940 CTS851930:CTT851940 DDO851930:DDP851940 DNK851930:DNL851940 DXG851930:DXH851940 EHC851930:EHD851940 EQY851930:EQZ851940 FAU851930:FAV851940 FKQ851930:FKR851940 FUM851930:FUN851940 GEI851930:GEJ851940 GOE851930:GOF851940 GYA851930:GYB851940 HHW851930:HHX851940 HRS851930:HRT851940 IBO851930:IBP851940 ILK851930:ILL851940 IVG851930:IVH851940 JFC851930:JFD851940 JOY851930:JOZ851940 JYU851930:JYV851940 KIQ851930:KIR851940 KSM851930:KSN851940 LCI851930:LCJ851940 LME851930:LMF851940 LWA851930:LWB851940 MFW851930:MFX851940 MPS851930:MPT851940 MZO851930:MZP851940 NJK851930:NJL851940 NTG851930:NTH851940 ODC851930:ODD851940 OMY851930:OMZ851940 OWU851930:OWV851940 PGQ851930:PGR851940 PQM851930:PQN851940 QAI851930:QAJ851940 QKE851930:QKF851940 QUA851930:QUB851940 RDW851930:RDX851940 RNS851930:RNT851940 RXO851930:RXP851940 SHK851930:SHL851940 SRG851930:SRH851940 TBC851930:TBD851940 TKY851930:TKZ851940 TUU851930:TUV851940 UEQ851930:UER851940 UOM851930:UON851940 UYI851930:UYJ851940 VIE851930:VIF851940 VSA851930:VSB851940 WBW851930:WBX851940 WLS851930:WLT851940 WVO851930:WVP851940 G917466:H917476 JC917466:JD917476 SY917466:SZ917476 ACU917466:ACV917476 AMQ917466:AMR917476 AWM917466:AWN917476 BGI917466:BGJ917476 BQE917466:BQF917476 CAA917466:CAB917476 CJW917466:CJX917476 CTS917466:CTT917476 DDO917466:DDP917476 DNK917466:DNL917476 DXG917466:DXH917476 EHC917466:EHD917476 EQY917466:EQZ917476 FAU917466:FAV917476 FKQ917466:FKR917476 FUM917466:FUN917476 GEI917466:GEJ917476 GOE917466:GOF917476 GYA917466:GYB917476 HHW917466:HHX917476 HRS917466:HRT917476 IBO917466:IBP917476 ILK917466:ILL917476 IVG917466:IVH917476 JFC917466:JFD917476 JOY917466:JOZ917476 JYU917466:JYV917476 KIQ917466:KIR917476 KSM917466:KSN917476 LCI917466:LCJ917476 LME917466:LMF917476 LWA917466:LWB917476 MFW917466:MFX917476 MPS917466:MPT917476 MZO917466:MZP917476 NJK917466:NJL917476 NTG917466:NTH917476 ODC917466:ODD917476 OMY917466:OMZ917476 OWU917466:OWV917476 PGQ917466:PGR917476 PQM917466:PQN917476 QAI917466:QAJ917476 QKE917466:QKF917476 QUA917466:QUB917476 RDW917466:RDX917476 RNS917466:RNT917476 RXO917466:RXP917476 SHK917466:SHL917476 SRG917466:SRH917476 TBC917466:TBD917476 TKY917466:TKZ917476 TUU917466:TUV917476 UEQ917466:UER917476 UOM917466:UON917476 UYI917466:UYJ917476 VIE917466:VIF917476 VSA917466:VSB917476 WBW917466:WBX917476 WLS917466:WLT917476 WVO917466:WVP917476 G983002:H983012 JC983002:JD983012 SY983002:SZ983012 ACU983002:ACV983012 AMQ983002:AMR983012 AWM983002:AWN983012 BGI983002:BGJ983012 BQE983002:BQF983012 CAA983002:CAB983012 CJW983002:CJX983012 CTS983002:CTT983012 DDO983002:DDP983012 DNK983002:DNL983012 DXG983002:DXH983012 EHC983002:EHD983012 EQY983002:EQZ983012 FAU983002:FAV983012 FKQ983002:FKR983012 FUM983002:FUN983012 GEI983002:GEJ983012 GOE983002:GOF983012 GYA983002:GYB983012 HHW983002:HHX983012 HRS983002:HRT983012 IBO983002:IBP983012 ILK983002:ILL983012 IVG983002:IVH983012 JFC983002:JFD983012 JOY983002:JOZ983012 JYU983002:JYV983012 KIQ983002:KIR983012 KSM983002:KSN983012 LCI983002:LCJ983012 LME983002:LMF983012 LWA983002:LWB983012 MFW983002:MFX983012 MPS983002:MPT983012 MZO983002:MZP983012 NJK983002:NJL983012 NTG983002:NTH983012 ODC983002:ODD983012 OMY983002:OMZ983012 OWU983002:OWV983012 PGQ983002:PGR983012 PQM983002:PQN983012 QAI983002:QAJ983012 QKE983002:QKF983012 QUA983002:QUB983012 RDW983002:RDX983012 RNS983002:RNT983012 RXO983002:RXP983012 SHK983002:SHL983012 SRG983002:SRH983012 TBC983002:TBD983012 TKY983002:TKZ983012 TUU983002:TUV983012 UEQ983002:UER983012 UOM983002:UON983012 UYI983002:UYJ983012 VIE983002:VIF983012 VSA983002:VSB983012 WBW983002:WBX983012 WLS983002:WLT983012 WVO983002:WVP983012 G24:H24 JC24:JD24 SY24:SZ24 ACU24:ACV24 AMQ24:AMR24 AWM24:AWN24 BGI24:BGJ24 BQE24:BQF24 CAA24:CAB24 CJW24:CJX24 CTS24:CTT24 DDO24:DDP24 DNK24:DNL24 DXG24:DXH24 EHC24:EHD24 EQY24:EQZ24 FAU24:FAV24 FKQ24:FKR24 FUM24:FUN24 GEI24:GEJ24 GOE24:GOF24 GYA24:GYB24 HHW24:HHX24 HRS24:HRT24 IBO24:IBP24 ILK24:ILL24 IVG24:IVH24 JFC24:JFD24 JOY24:JOZ24 JYU24:JYV24 KIQ24:KIR24 KSM24:KSN24 LCI24:LCJ24 LME24:LMF24 LWA24:LWB24 MFW24:MFX24 MPS24:MPT24 MZO24:MZP24 NJK24:NJL24 NTG24:NTH24 ODC24:ODD24 OMY24:OMZ24 OWU24:OWV24 PGQ24:PGR24 PQM24:PQN24 QAI24:QAJ24 QKE24:QKF24 QUA24:QUB24 RDW24:RDX24 RNS24:RNT24 RXO24:RXP24 SHK24:SHL24 SRG24:SRH24 TBC24:TBD24 TKY24:TKZ24 TUU24:TUV24 UEQ24:UER24 UOM24:UON24 UYI24:UYJ24 VIE24:VIF24 VSA24:VSB24 WBW24:WBX24 WLS24:WLT24 WVO24:WVP24 G65496:H65496 JC65496:JD65496 SY65496:SZ65496 ACU65496:ACV65496 AMQ65496:AMR65496 AWM65496:AWN65496 BGI65496:BGJ65496 BQE65496:BQF65496 CAA65496:CAB65496 CJW65496:CJX65496 CTS65496:CTT65496 DDO65496:DDP65496 DNK65496:DNL65496 DXG65496:DXH65496 EHC65496:EHD65496 EQY65496:EQZ65496 FAU65496:FAV65496 FKQ65496:FKR65496 FUM65496:FUN65496 GEI65496:GEJ65496 GOE65496:GOF65496 GYA65496:GYB65496 HHW65496:HHX65496 HRS65496:HRT65496 IBO65496:IBP65496 ILK65496:ILL65496 IVG65496:IVH65496 JFC65496:JFD65496 JOY65496:JOZ65496 JYU65496:JYV65496 KIQ65496:KIR65496 KSM65496:KSN65496 LCI65496:LCJ65496 LME65496:LMF65496 LWA65496:LWB65496 MFW65496:MFX65496 MPS65496:MPT65496 MZO65496:MZP65496 NJK65496:NJL65496 NTG65496:NTH65496 ODC65496:ODD65496 OMY65496:OMZ65496 OWU65496:OWV65496 PGQ65496:PGR65496 PQM65496:PQN65496 QAI65496:QAJ65496 QKE65496:QKF65496 QUA65496:QUB65496 RDW65496:RDX65496 RNS65496:RNT65496 RXO65496:RXP65496 SHK65496:SHL65496 SRG65496:SRH65496 TBC65496:TBD65496 TKY65496:TKZ65496 TUU65496:TUV65496 UEQ65496:UER65496 UOM65496:UON65496 UYI65496:UYJ65496 VIE65496:VIF65496 VSA65496:VSB65496 WBW65496:WBX65496 WLS65496:WLT65496 WVO65496:WVP65496 G131032:H131032 JC131032:JD131032 SY131032:SZ131032 ACU131032:ACV131032 AMQ131032:AMR131032 AWM131032:AWN131032 BGI131032:BGJ131032 BQE131032:BQF131032 CAA131032:CAB131032 CJW131032:CJX131032 CTS131032:CTT131032 DDO131032:DDP131032 DNK131032:DNL131032 DXG131032:DXH131032 EHC131032:EHD131032 EQY131032:EQZ131032 FAU131032:FAV131032 FKQ131032:FKR131032 FUM131032:FUN131032 GEI131032:GEJ131032 GOE131032:GOF131032 GYA131032:GYB131032 HHW131032:HHX131032 HRS131032:HRT131032 IBO131032:IBP131032 ILK131032:ILL131032 IVG131032:IVH131032 JFC131032:JFD131032 JOY131032:JOZ131032 JYU131032:JYV131032 KIQ131032:KIR131032 KSM131032:KSN131032 LCI131032:LCJ131032 LME131032:LMF131032 LWA131032:LWB131032 MFW131032:MFX131032 MPS131032:MPT131032 MZO131032:MZP131032 NJK131032:NJL131032 NTG131032:NTH131032 ODC131032:ODD131032 OMY131032:OMZ131032 OWU131032:OWV131032 PGQ131032:PGR131032 PQM131032:PQN131032 QAI131032:QAJ131032 QKE131032:QKF131032 QUA131032:QUB131032 RDW131032:RDX131032 RNS131032:RNT131032 RXO131032:RXP131032 SHK131032:SHL131032 SRG131032:SRH131032 TBC131032:TBD131032 TKY131032:TKZ131032 TUU131032:TUV131032 UEQ131032:UER131032 UOM131032:UON131032 UYI131032:UYJ131032 VIE131032:VIF131032 VSA131032:VSB131032 WBW131032:WBX131032 WLS131032:WLT131032 WVO131032:WVP131032 G196568:H196568 JC196568:JD196568 SY196568:SZ196568 ACU196568:ACV196568 AMQ196568:AMR196568 AWM196568:AWN196568 BGI196568:BGJ196568 BQE196568:BQF196568 CAA196568:CAB196568 CJW196568:CJX196568 CTS196568:CTT196568 DDO196568:DDP196568 DNK196568:DNL196568 DXG196568:DXH196568 EHC196568:EHD196568 EQY196568:EQZ196568 FAU196568:FAV196568 FKQ196568:FKR196568 FUM196568:FUN196568 GEI196568:GEJ196568 GOE196568:GOF196568 GYA196568:GYB196568 HHW196568:HHX196568 HRS196568:HRT196568 IBO196568:IBP196568 ILK196568:ILL196568 IVG196568:IVH196568 JFC196568:JFD196568 JOY196568:JOZ196568 JYU196568:JYV196568 KIQ196568:KIR196568 KSM196568:KSN196568 LCI196568:LCJ196568 LME196568:LMF196568 LWA196568:LWB196568 MFW196568:MFX196568 MPS196568:MPT196568 MZO196568:MZP196568 NJK196568:NJL196568 NTG196568:NTH196568 ODC196568:ODD196568 OMY196568:OMZ196568 OWU196568:OWV196568 PGQ196568:PGR196568 PQM196568:PQN196568 QAI196568:QAJ196568 QKE196568:QKF196568 QUA196568:QUB196568 RDW196568:RDX196568 RNS196568:RNT196568 RXO196568:RXP196568 SHK196568:SHL196568 SRG196568:SRH196568 TBC196568:TBD196568 TKY196568:TKZ196568 TUU196568:TUV196568 UEQ196568:UER196568 UOM196568:UON196568 UYI196568:UYJ196568 VIE196568:VIF196568 VSA196568:VSB196568 WBW196568:WBX196568 WLS196568:WLT196568 WVO196568:WVP196568 G262104:H262104 JC262104:JD262104 SY262104:SZ262104 ACU262104:ACV262104 AMQ262104:AMR262104 AWM262104:AWN262104 BGI262104:BGJ262104 BQE262104:BQF262104 CAA262104:CAB262104 CJW262104:CJX262104 CTS262104:CTT262104 DDO262104:DDP262104 DNK262104:DNL262104 DXG262104:DXH262104 EHC262104:EHD262104 EQY262104:EQZ262104 FAU262104:FAV262104 FKQ262104:FKR262104 FUM262104:FUN262104 GEI262104:GEJ262104 GOE262104:GOF262104 GYA262104:GYB262104 HHW262104:HHX262104 HRS262104:HRT262104 IBO262104:IBP262104 ILK262104:ILL262104 IVG262104:IVH262104 JFC262104:JFD262104 JOY262104:JOZ262104 JYU262104:JYV262104 KIQ262104:KIR262104 KSM262104:KSN262104 LCI262104:LCJ262104 LME262104:LMF262104 LWA262104:LWB262104 MFW262104:MFX262104 MPS262104:MPT262104 MZO262104:MZP262104 NJK262104:NJL262104 NTG262104:NTH262104 ODC262104:ODD262104 OMY262104:OMZ262104 OWU262104:OWV262104 PGQ262104:PGR262104 PQM262104:PQN262104 QAI262104:QAJ262104 QKE262104:QKF262104 QUA262104:QUB262104 RDW262104:RDX262104 RNS262104:RNT262104 RXO262104:RXP262104 SHK262104:SHL262104 SRG262104:SRH262104 TBC262104:TBD262104 TKY262104:TKZ262104 TUU262104:TUV262104 UEQ262104:UER262104 UOM262104:UON262104 UYI262104:UYJ262104 VIE262104:VIF262104 VSA262104:VSB262104 WBW262104:WBX262104 WLS262104:WLT262104 WVO262104:WVP262104 G327640:H327640 JC327640:JD327640 SY327640:SZ327640 ACU327640:ACV327640 AMQ327640:AMR327640 AWM327640:AWN327640 BGI327640:BGJ327640 BQE327640:BQF327640 CAA327640:CAB327640 CJW327640:CJX327640 CTS327640:CTT327640 DDO327640:DDP327640 DNK327640:DNL327640 DXG327640:DXH327640 EHC327640:EHD327640 EQY327640:EQZ327640 FAU327640:FAV327640 FKQ327640:FKR327640 FUM327640:FUN327640 GEI327640:GEJ327640 GOE327640:GOF327640 GYA327640:GYB327640 HHW327640:HHX327640 HRS327640:HRT327640 IBO327640:IBP327640 ILK327640:ILL327640 IVG327640:IVH327640 JFC327640:JFD327640 JOY327640:JOZ327640 JYU327640:JYV327640 KIQ327640:KIR327640 KSM327640:KSN327640 LCI327640:LCJ327640 LME327640:LMF327640 LWA327640:LWB327640 MFW327640:MFX327640 MPS327640:MPT327640 MZO327640:MZP327640 NJK327640:NJL327640 NTG327640:NTH327640 ODC327640:ODD327640 OMY327640:OMZ327640 OWU327640:OWV327640 PGQ327640:PGR327640 PQM327640:PQN327640 QAI327640:QAJ327640 QKE327640:QKF327640 QUA327640:QUB327640 RDW327640:RDX327640 RNS327640:RNT327640 RXO327640:RXP327640 SHK327640:SHL327640 SRG327640:SRH327640 TBC327640:TBD327640 TKY327640:TKZ327640 TUU327640:TUV327640 UEQ327640:UER327640 UOM327640:UON327640 UYI327640:UYJ327640 VIE327640:VIF327640 VSA327640:VSB327640 WBW327640:WBX327640 WLS327640:WLT327640 WVO327640:WVP327640 G393176:H393176 JC393176:JD393176 SY393176:SZ393176 ACU393176:ACV393176 AMQ393176:AMR393176 AWM393176:AWN393176 BGI393176:BGJ393176 BQE393176:BQF393176 CAA393176:CAB393176 CJW393176:CJX393176 CTS393176:CTT393176 DDO393176:DDP393176 DNK393176:DNL393176 DXG393176:DXH393176 EHC393176:EHD393176 EQY393176:EQZ393176 FAU393176:FAV393176 FKQ393176:FKR393176 FUM393176:FUN393176 GEI393176:GEJ393176 GOE393176:GOF393176 GYA393176:GYB393176 HHW393176:HHX393176 HRS393176:HRT393176 IBO393176:IBP393176 ILK393176:ILL393176 IVG393176:IVH393176 JFC393176:JFD393176 JOY393176:JOZ393176 JYU393176:JYV393176 KIQ393176:KIR393176 KSM393176:KSN393176 LCI393176:LCJ393176 LME393176:LMF393176 LWA393176:LWB393176 MFW393176:MFX393176 MPS393176:MPT393176 MZO393176:MZP393176 NJK393176:NJL393176 NTG393176:NTH393176 ODC393176:ODD393176 OMY393176:OMZ393176 OWU393176:OWV393176 PGQ393176:PGR393176 PQM393176:PQN393176 QAI393176:QAJ393176 QKE393176:QKF393176 QUA393176:QUB393176 RDW393176:RDX393176 RNS393176:RNT393176 RXO393176:RXP393176 SHK393176:SHL393176 SRG393176:SRH393176 TBC393176:TBD393176 TKY393176:TKZ393176 TUU393176:TUV393176 UEQ393176:UER393176 UOM393176:UON393176 UYI393176:UYJ393176 VIE393176:VIF393176 VSA393176:VSB393176 WBW393176:WBX393176 WLS393176:WLT393176 WVO393176:WVP393176 G458712:H458712 JC458712:JD458712 SY458712:SZ458712 ACU458712:ACV458712 AMQ458712:AMR458712 AWM458712:AWN458712 BGI458712:BGJ458712 BQE458712:BQF458712 CAA458712:CAB458712 CJW458712:CJX458712 CTS458712:CTT458712 DDO458712:DDP458712 DNK458712:DNL458712 DXG458712:DXH458712 EHC458712:EHD458712 EQY458712:EQZ458712 FAU458712:FAV458712 FKQ458712:FKR458712 FUM458712:FUN458712 GEI458712:GEJ458712 GOE458712:GOF458712 GYA458712:GYB458712 HHW458712:HHX458712 HRS458712:HRT458712 IBO458712:IBP458712 ILK458712:ILL458712 IVG458712:IVH458712 JFC458712:JFD458712 JOY458712:JOZ458712 JYU458712:JYV458712 KIQ458712:KIR458712 KSM458712:KSN458712 LCI458712:LCJ458712 LME458712:LMF458712 LWA458712:LWB458712 MFW458712:MFX458712 MPS458712:MPT458712 MZO458712:MZP458712 NJK458712:NJL458712 NTG458712:NTH458712 ODC458712:ODD458712 OMY458712:OMZ458712 OWU458712:OWV458712 PGQ458712:PGR458712 PQM458712:PQN458712 QAI458712:QAJ458712 QKE458712:QKF458712 QUA458712:QUB458712 RDW458712:RDX458712 RNS458712:RNT458712 RXO458712:RXP458712 SHK458712:SHL458712 SRG458712:SRH458712 TBC458712:TBD458712 TKY458712:TKZ458712 TUU458712:TUV458712 UEQ458712:UER458712 UOM458712:UON458712 UYI458712:UYJ458712 VIE458712:VIF458712 VSA458712:VSB458712 WBW458712:WBX458712 WLS458712:WLT458712 WVO458712:WVP458712 G524248:H524248 JC524248:JD524248 SY524248:SZ524248 ACU524248:ACV524248 AMQ524248:AMR524248 AWM524248:AWN524248 BGI524248:BGJ524248 BQE524248:BQF524248 CAA524248:CAB524248 CJW524248:CJX524248 CTS524248:CTT524248 DDO524248:DDP524248 DNK524248:DNL524248 DXG524248:DXH524248 EHC524248:EHD524248 EQY524248:EQZ524248 FAU524248:FAV524248 FKQ524248:FKR524248 FUM524248:FUN524248 GEI524248:GEJ524248 GOE524248:GOF524248 GYA524248:GYB524248 HHW524248:HHX524248 HRS524248:HRT524248 IBO524248:IBP524248 ILK524248:ILL524248 IVG524248:IVH524248 JFC524248:JFD524248 JOY524248:JOZ524248 JYU524248:JYV524248 KIQ524248:KIR524248 KSM524248:KSN524248 LCI524248:LCJ524248 LME524248:LMF524248 LWA524248:LWB524248 MFW524248:MFX524248 MPS524248:MPT524248 MZO524248:MZP524248 NJK524248:NJL524248 NTG524248:NTH524248 ODC524248:ODD524248 OMY524248:OMZ524248 OWU524248:OWV524248 PGQ524248:PGR524248 PQM524248:PQN524248 QAI524248:QAJ524248 QKE524248:QKF524248 QUA524248:QUB524248 RDW524248:RDX524248 RNS524248:RNT524248 RXO524248:RXP524248 SHK524248:SHL524248 SRG524248:SRH524248 TBC524248:TBD524248 TKY524248:TKZ524248 TUU524248:TUV524248 UEQ524248:UER524248 UOM524248:UON524248 UYI524248:UYJ524248 VIE524248:VIF524248 VSA524248:VSB524248 WBW524248:WBX524248 WLS524248:WLT524248 WVO524248:WVP524248 G589784:H589784 JC589784:JD589784 SY589784:SZ589784 ACU589784:ACV589784 AMQ589784:AMR589784 AWM589784:AWN589784 BGI589784:BGJ589784 BQE589784:BQF589784 CAA589784:CAB589784 CJW589784:CJX589784 CTS589784:CTT589784 DDO589784:DDP589784 DNK589784:DNL589784 DXG589784:DXH589784 EHC589784:EHD589784 EQY589784:EQZ589784 FAU589784:FAV589784 FKQ589784:FKR589784 FUM589784:FUN589784 GEI589784:GEJ589784 GOE589784:GOF589784 GYA589784:GYB589784 HHW589784:HHX589784 HRS589784:HRT589784 IBO589784:IBP589784 ILK589784:ILL589784 IVG589784:IVH589784 JFC589784:JFD589784 JOY589784:JOZ589784 JYU589784:JYV589784 KIQ589784:KIR589784 KSM589784:KSN589784 LCI589784:LCJ589784 LME589784:LMF589784 LWA589784:LWB589784 MFW589784:MFX589784 MPS589784:MPT589784 MZO589784:MZP589784 NJK589784:NJL589784 NTG589784:NTH589784 ODC589784:ODD589784 OMY589784:OMZ589784 OWU589784:OWV589784 PGQ589784:PGR589784 PQM589784:PQN589784 QAI589784:QAJ589784 QKE589784:QKF589784 QUA589784:QUB589784 RDW589784:RDX589784 RNS589784:RNT589784 RXO589784:RXP589784 SHK589784:SHL589784 SRG589784:SRH589784 TBC589784:TBD589784 TKY589784:TKZ589784 TUU589784:TUV589784 UEQ589784:UER589784 UOM589784:UON589784 UYI589784:UYJ589784 VIE589784:VIF589784 VSA589784:VSB589784 WBW589784:WBX589784 WLS589784:WLT589784 WVO589784:WVP589784 G655320:H655320 JC655320:JD655320 SY655320:SZ655320 ACU655320:ACV655320 AMQ655320:AMR655320 AWM655320:AWN655320 BGI655320:BGJ655320 BQE655320:BQF655320 CAA655320:CAB655320 CJW655320:CJX655320 CTS655320:CTT655320 DDO655320:DDP655320 DNK655320:DNL655320 DXG655320:DXH655320 EHC655320:EHD655320 EQY655320:EQZ655320 FAU655320:FAV655320 FKQ655320:FKR655320 FUM655320:FUN655320 GEI655320:GEJ655320 GOE655320:GOF655320 GYA655320:GYB655320 HHW655320:HHX655320 HRS655320:HRT655320 IBO655320:IBP655320 ILK655320:ILL655320 IVG655320:IVH655320 JFC655320:JFD655320 JOY655320:JOZ655320 JYU655320:JYV655320 KIQ655320:KIR655320 KSM655320:KSN655320 LCI655320:LCJ655320 LME655320:LMF655320 LWA655320:LWB655320 MFW655320:MFX655320 MPS655320:MPT655320 MZO655320:MZP655320 NJK655320:NJL655320 NTG655320:NTH655320 ODC655320:ODD655320 OMY655320:OMZ655320 OWU655320:OWV655320 PGQ655320:PGR655320 PQM655320:PQN655320 QAI655320:QAJ655320 QKE655320:QKF655320 QUA655320:QUB655320 RDW655320:RDX655320 RNS655320:RNT655320 RXO655320:RXP655320 SHK655320:SHL655320 SRG655320:SRH655320 TBC655320:TBD655320 TKY655320:TKZ655320 TUU655320:TUV655320 UEQ655320:UER655320 UOM655320:UON655320 UYI655320:UYJ655320 VIE655320:VIF655320 VSA655320:VSB655320 WBW655320:WBX655320 WLS655320:WLT655320 WVO655320:WVP655320 G720856:H720856 JC720856:JD720856 SY720856:SZ720856 ACU720856:ACV720856 AMQ720856:AMR720856 AWM720856:AWN720856 BGI720856:BGJ720856 BQE720856:BQF720856 CAA720856:CAB720856 CJW720856:CJX720856 CTS720856:CTT720856 DDO720856:DDP720856 DNK720856:DNL720856 DXG720856:DXH720856 EHC720856:EHD720856 EQY720856:EQZ720856 FAU720856:FAV720856 FKQ720856:FKR720856 FUM720856:FUN720856 GEI720856:GEJ720856 GOE720856:GOF720856 GYA720856:GYB720856 HHW720856:HHX720856 HRS720856:HRT720856 IBO720856:IBP720856 ILK720856:ILL720856 IVG720856:IVH720856 JFC720856:JFD720856 JOY720856:JOZ720856 JYU720856:JYV720856 KIQ720856:KIR720856 KSM720856:KSN720856 LCI720856:LCJ720856 LME720856:LMF720856 LWA720856:LWB720856 MFW720856:MFX720856 MPS720856:MPT720856 MZO720856:MZP720856 NJK720856:NJL720856 NTG720856:NTH720856 ODC720856:ODD720856 OMY720856:OMZ720856 OWU720856:OWV720856 PGQ720856:PGR720856 PQM720856:PQN720856 QAI720856:QAJ720856 QKE720856:QKF720856 QUA720856:QUB720856 RDW720856:RDX720856 RNS720856:RNT720856 RXO720856:RXP720856 SHK720856:SHL720856 SRG720856:SRH720856 TBC720856:TBD720856 TKY720856:TKZ720856 TUU720856:TUV720856 UEQ720856:UER720856 UOM720856:UON720856 UYI720856:UYJ720856 VIE720856:VIF720856 VSA720856:VSB720856 WBW720856:WBX720856 WLS720856:WLT720856 WVO720856:WVP720856 G786392:H786392 JC786392:JD786392 SY786392:SZ786392 ACU786392:ACV786392 AMQ786392:AMR786392 AWM786392:AWN786392 BGI786392:BGJ786392 BQE786392:BQF786392 CAA786392:CAB786392 CJW786392:CJX786392 CTS786392:CTT786392 DDO786392:DDP786392 DNK786392:DNL786392 DXG786392:DXH786392 EHC786392:EHD786392 EQY786392:EQZ786392 FAU786392:FAV786392 FKQ786392:FKR786392 FUM786392:FUN786392 GEI786392:GEJ786392 GOE786392:GOF786392 GYA786392:GYB786392 HHW786392:HHX786392 HRS786392:HRT786392 IBO786392:IBP786392 ILK786392:ILL786392 IVG786392:IVH786392 JFC786392:JFD786392 JOY786392:JOZ786392 JYU786392:JYV786392 KIQ786392:KIR786392 KSM786392:KSN786392 LCI786392:LCJ786392 LME786392:LMF786392 LWA786392:LWB786392 MFW786392:MFX786392 MPS786392:MPT786392 MZO786392:MZP786392 NJK786392:NJL786392 NTG786392:NTH786392 ODC786392:ODD786392 OMY786392:OMZ786392 OWU786392:OWV786392 PGQ786392:PGR786392 PQM786392:PQN786392 QAI786392:QAJ786392 QKE786392:QKF786392 QUA786392:QUB786392 RDW786392:RDX786392 RNS786392:RNT786392 RXO786392:RXP786392 SHK786392:SHL786392 SRG786392:SRH786392 TBC786392:TBD786392 TKY786392:TKZ786392 TUU786392:TUV786392 UEQ786392:UER786392 UOM786392:UON786392 UYI786392:UYJ786392 VIE786392:VIF786392 VSA786392:VSB786392 WBW786392:WBX786392 WLS786392:WLT786392 WVO786392:WVP786392 G851928:H851928 JC851928:JD851928 SY851928:SZ851928 ACU851928:ACV851928 AMQ851928:AMR851928 AWM851928:AWN851928 BGI851928:BGJ851928 BQE851928:BQF851928 CAA851928:CAB851928 CJW851928:CJX851928 CTS851928:CTT851928 DDO851928:DDP851928 DNK851928:DNL851928 DXG851928:DXH851928 EHC851928:EHD851928 EQY851928:EQZ851928 FAU851928:FAV851928 FKQ851928:FKR851928 FUM851928:FUN851928 GEI851928:GEJ851928 GOE851928:GOF851928 GYA851928:GYB851928 HHW851928:HHX851928 HRS851928:HRT851928 IBO851928:IBP851928 ILK851928:ILL851928 IVG851928:IVH851928 JFC851928:JFD851928 JOY851928:JOZ851928 JYU851928:JYV851928 KIQ851928:KIR851928 KSM851928:KSN851928 LCI851928:LCJ851928 LME851928:LMF851928 LWA851928:LWB851928 MFW851928:MFX851928 MPS851928:MPT851928 MZO851928:MZP851928 NJK851928:NJL851928 NTG851928:NTH851928 ODC851928:ODD851928 OMY851928:OMZ851928 OWU851928:OWV851928 PGQ851928:PGR851928 PQM851928:PQN851928 QAI851928:QAJ851928 QKE851928:QKF851928 QUA851928:QUB851928 RDW851928:RDX851928 RNS851928:RNT851928 RXO851928:RXP851928 SHK851928:SHL851928 SRG851928:SRH851928 TBC851928:TBD851928 TKY851928:TKZ851928 TUU851928:TUV851928 UEQ851928:UER851928 UOM851928:UON851928 UYI851928:UYJ851928 VIE851928:VIF851928 VSA851928:VSB851928 WBW851928:WBX851928 WLS851928:WLT851928 WVO851928:WVP851928 G917464:H917464 JC917464:JD917464 SY917464:SZ917464 ACU917464:ACV917464 AMQ917464:AMR917464 AWM917464:AWN917464 BGI917464:BGJ917464 BQE917464:BQF917464 CAA917464:CAB917464 CJW917464:CJX917464 CTS917464:CTT917464 DDO917464:DDP917464 DNK917464:DNL917464 DXG917464:DXH917464 EHC917464:EHD917464 EQY917464:EQZ917464 FAU917464:FAV917464 FKQ917464:FKR917464 FUM917464:FUN917464 GEI917464:GEJ917464 GOE917464:GOF917464 GYA917464:GYB917464 HHW917464:HHX917464 HRS917464:HRT917464 IBO917464:IBP917464 ILK917464:ILL917464 IVG917464:IVH917464 JFC917464:JFD917464 JOY917464:JOZ917464 JYU917464:JYV917464 KIQ917464:KIR917464 KSM917464:KSN917464 LCI917464:LCJ917464 LME917464:LMF917464 LWA917464:LWB917464 MFW917464:MFX917464 MPS917464:MPT917464 MZO917464:MZP917464 NJK917464:NJL917464 NTG917464:NTH917464 ODC917464:ODD917464 OMY917464:OMZ917464 OWU917464:OWV917464 PGQ917464:PGR917464 PQM917464:PQN917464 QAI917464:QAJ917464 QKE917464:QKF917464 QUA917464:QUB917464 RDW917464:RDX917464 RNS917464:RNT917464 RXO917464:RXP917464 SHK917464:SHL917464 SRG917464:SRH917464 TBC917464:TBD917464 TKY917464:TKZ917464 TUU917464:TUV917464 UEQ917464:UER917464 UOM917464:UON917464 UYI917464:UYJ917464 VIE917464:VIF917464 VSA917464:VSB917464 WBW917464:WBX917464 WLS917464:WLT917464 WVO917464:WVP917464 G983000:H983000 JC983000:JD983000 SY983000:SZ983000 ACU983000:ACV983000 AMQ983000:AMR983000 AWM983000:AWN983000 BGI983000:BGJ983000 BQE983000:BQF983000 CAA983000:CAB983000 CJW983000:CJX983000 CTS983000:CTT983000 DDO983000:DDP983000 DNK983000:DNL983000 DXG983000:DXH983000 EHC983000:EHD983000 EQY983000:EQZ983000 FAU983000:FAV983000 FKQ983000:FKR983000 FUM983000:FUN983000 GEI983000:GEJ983000 GOE983000:GOF983000 GYA983000:GYB983000 HHW983000:HHX983000 HRS983000:HRT983000 IBO983000:IBP983000 ILK983000:ILL983000 IVG983000:IVH983000 JFC983000:JFD983000 JOY983000:JOZ983000 JYU983000:JYV983000 KIQ983000:KIR983000 KSM983000:KSN983000 LCI983000:LCJ983000 LME983000:LMF983000 LWA983000:LWB983000 MFW983000:MFX983000 MPS983000:MPT983000 MZO983000:MZP983000 NJK983000:NJL983000 NTG983000:NTH983000 ODC983000:ODD983000 OMY983000:OMZ983000 OWU983000:OWV983000 PGQ983000:PGR983000 PQM983000:PQN983000 QAI983000:QAJ983000 QKE983000:QKF983000 QUA983000:QUB983000 RDW983000:RDX983000 RNS983000:RNT983000 RXO983000:RXP983000 SHK983000:SHL983000 SRG983000:SRH983000 TBC983000:TBD983000 TKY983000:TKZ983000 TUU983000:TUV983000 UEQ983000:UER983000 UOM983000:UON983000 UYI983000:UYJ983000 VIE983000:VIF983000 VSA983000:VSB983000 WBW983000:WBX983000 WLS983000:WLT983000 WVO983000:WVP983000 G20:H22 JC20:JD22 SY20:SZ22 ACU20:ACV22 AMQ20:AMR22 AWM20:AWN22 BGI20:BGJ22 BQE20:BQF22 CAA20:CAB22 CJW20:CJX22 CTS20:CTT22 DDO20:DDP22 DNK20:DNL22 DXG20:DXH22 EHC20:EHD22 EQY20:EQZ22 FAU20:FAV22 FKQ20:FKR22 FUM20:FUN22 GEI20:GEJ22 GOE20:GOF22 GYA20:GYB22 HHW20:HHX22 HRS20:HRT22 IBO20:IBP22 ILK20:ILL22 IVG20:IVH22 JFC20:JFD22 JOY20:JOZ22 JYU20:JYV22 KIQ20:KIR22 KSM20:KSN22 LCI20:LCJ22 LME20:LMF22 LWA20:LWB22 MFW20:MFX22 MPS20:MPT22 MZO20:MZP22 NJK20:NJL22 NTG20:NTH22 ODC20:ODD22 OMY20:OMZ22 OWU20:OWV22 PGQ20:PGR22 PQM20:PQN22 QAI20:QAJ22 QKE20:QKF22 QUA20:QUB22 RDW20:RDX22 RNS20:RNT22 RXO20:RXP22 SHK20:SHL22 SRG20:SRH22 TBC20:TBD22 TKY20:TKZ22 TUU20:TUV22 UEQ20:UER22 UOM20:UON22 UYI20:UYJ22 VIE20:VIF22 VSA20:VSB22 WBW20:WBX22 WLS20:WLT22 WVO20:WVP22 G65492:H65494 JC65492:JD65494 SY65492:SZ65494 ACU65492:ACV65494 AMQ65492:AMR65494 AWM65492:AWN65494 BGI65492:BGJ65494 BQE65492:BQF65494 CAA65492:CAB65494 CJW65492:CJX65494 CTS65492:CTT65494 DDO65492:DDP65494 DNK65492:DNL65494 DXG65492:DXH65494 EHC65492:EHD65494 EQY65492:EQZ65494 FAU65492:FAV65494 FKQ65492:FKR65494 FUM65492:FUN65494 GEI65492:GEJ65494 GOE65492:GOF65494 GYA65492:GYB65494 HHW65492:HHX65494 HRS65492:HRT65494 IBO65492:IBP65494 ILK65492:ILL65494 IVG65492:IVH65494 JFC65492:JFD65494 JOY65492:JOZ65494 JYU65492:JYV65494 KIQ65492:KIR65494 KSM65492:KSN65494 LCI65492:LCJ65494 LME65492:LMF65494 LWA65492:LWB65494 MFW65492:MFX65494 MPS65492:MPT65494 MZO65492:MZP65494 NJK65492:NJL65494 NTG65492:NTH65494 ODC65492:ODD65494 OMY65492:OMZ65494 OWU65492:OWV65494 PGQ65492:PGR65494 PQM65492:PQN65494 QAI65492:QAJ65494 QKE65492:QKF65494 QUA65492:QUB65494 RDW65492:RDX65494 RNS65492:RNT65494 RXO65492:RXP65494 SHK65492:SHL65494 SRG65492:SRH65494 TBC65492:TBD65494 TKY65492:TKZ65494 TUU65492:TUV65494 UEQ65492:UER65494 UOM65492:UON65494 UYI65492:UYJ65494 VIE65492:VIF65494 VSA65492:VSB65494 WBW65492:WBX65494 WLS65492:WLT65494 WVO65492:WVP65494 G131028:H131030 JC131028:JD131030 SY131028:SZ131030 ACU131028:ACV131030 AMQ131028:AMR131030 AWM131028:AWN131030 BGI131028:BGJ131030 BQE131028:BQF131030 CAA131028:CAB131030 CJW131028:CJX131030 CTS131028:CTT131030 DDO131028:DDP131030 DNK131028:DNL131030 DXG131028:DXH131030 EHC131028:EHD131030 EQY131028:EQZ131030 FAU131028:FAV131030 FKQ131028:FKR131030 FUM131028:FUN131030 GEI131028:GEJ131030 GOE131028:GOF131030 GYA131028:GYB131030 HHW131028:HHX131030 HRS131028:HRT131030 IBO131028:IBP131030 ILK131028:ILL131030 IVG131028:IVH131030 JFC131028:JFD131030 JOY131028:JOZ131030 JYU131028:JYV131030 KIQ131028:KIR131030 KSM131028:KSN131030 LCI131028:LCJ131030 LME131028:LMF131030 LWA131028:LWB131030 MFW131028:MFX131030 MPS131028:MPT131030 MZO131028:MZP131030 NJK131028:NJL131030 NTG131028:NTH131030 ODC131028:ODD131030 OMY131028:OMZ131030 OWU131028:OWV131030 PGQ131028:PGR131030 PQM131028:PQN131030 QAI131028:QAJ131030 QKE131028:QKF131030 QUA131028:QUB131030 RDW131028:RDX131030 RNS131028:RNT131030 RXO131028:RXP131030 SHK131028:SHL131030 SRG131028:SRH131030 TBC131028:TBD131030 TKY131028:TKZ131030 TUU131028:TUV131030 UEQ131028:UER131030 UOM131028:UON131030 UYI131028:UYJ131030 VIE131028:VIF131030 VSA131028:VSB131030 WBW131028:WBX131030 WLS131028:WLT131030 WVO131028:WVP131030 G196564:H196566 JC196564:JD196566 SY196564:SZ196566 ACU196564:ACV196566 AMQ196564:AMR196566 AWM196564:AWN196566 BGI196564:BGJ196566 BQE196564:BQF196566 CAA196564:CAB196566 CJW196564:CJX196566 CTS196564:CTT196566 DDO196564:DDP196566 DNK196564:DNL196566 DXG196564:DXH196566 EHC196564:EHD196566 EQY196564:EQZ196566 FAU196564:FAV196566 FKQ196564:FKR196566 FUM196564:FUN196566 GEI196564:GEJ196566 GOE196564:GOF196566 GYA196564:GYB196566 HHW196564:HHX196566 HRS196564:HRT196566 IBO196564:IBP196566 ILK196564:ILL196566 IVG196564:IVH196566 JFC196564:JFD196566 JOY196564:JOZ196566 JYU196564:JYV196566 KIQ196564:KIR196566 KSM196564:KSN196566 LCI196564:LCJ196566 LME196564:LMF196566 LWA196564:LWB196566 MFW196564:MFX196566 MPS196564:MPT196566 MZO196564:MZP196566 NJK196564:NJL196566 NTG196564:NTH196566 ODC196564:ODD196566 OMY196564:OMZ196566 OWU196564:OWV196566 PGQ196564:PGR196566 PQM196564:PQN196566 QAI196564:QAJ196566 QKE196564:QKF196566 QUA196564:QUB196566 RDW196564:RDX196566 RNS196564:RNT196566 RXO196564:RXP196566 SHK196564:SHL196566 SRG196564:SRH196566 TBC196564:TBD196566 TKY196564:TKZ196566 TUU196564:TUV196566 UEQ196564:UER196566 UOM196564:UON196566 UYI196564:UYJ196566 VIE196564:VIF196566 VSA196564:VSB196566 WBW196564:WBX196566 WLS196564:WLT196566 WVO196564:WVP196566 G262100:H262102 JC262100:JD262102 SY262100:SZ262102 ACU262100:ACV262102 AMQ262100:AMR262102 AWM262100:AWN262102 BGI262100:BGJ262102 BQE262100:BQF262102 CAA262100:CAB262102 CJW262100:CJX262102 CTS262100:CTT262102 DDO262100:DDP262102 DNK262100:DNL262102 DXG262100:DXH262102 EHC262100:EHD262102 EQY262100:EQZ262102 FAU262100:FAV262102 FKQ262100:FKR262102 FUM262100:FUN262102 GEI262100:GEJ262102 GOE262100:GOF262102 GYA262100:GYB262102 HHW262100:HHX262102 HRS262100:HRT262102 IBO262100:IBP262102 ILK262100:ILL262102 IVG262100:IVH262102 JFC262100:JFD262102 JOY262100:JOZ262102 JYU262100:JYV262102 KIQ262100:KIR262102 KSM262100:KSN262102 LCI262100:LCJ262102 LME262100:LMF262102 LWA262100:LWB262102 MFW262100:MFX262102 MPS262100:MPT262102 MZO262100:MZP262102 NJK262100:NJL262102 NTG262100:NTH262102 ODC262100:ODD262102 OMY262100:OMZ262102 OWU262100:OWV262102 PGQ262100:PGR262102 PQM262100:PQN262102 QAI262100:QAJ262102 QKE262100:QKF262102 QUA262100:QUB262102 RDW262100:RDX262102 RNS262100:RNT262102 RXO262100:RXP262102 SHK262100:SHL262102 SRG262100:SRH262102 TBC262100:TBD262102 TKY262100:TKZ262102 TUU262100:TUV262102 UEQ262100:UER262102 UOM262100:UON262102 UYI262100:UYJ262102 VIE262100:VIF262102 VSA262100:VSB262102 WBW262100:WBX262102 WLS262100:WLT262102 WVO262100:WVP262102 G327636:H327638 JC327636:JD327638 SY327636:SZ327638 ACU327636:ACV327638 AMQ327636:AMR327638 AWM327636:AWN327638 BGI327636:BGJ327638 BQE327636:BQF327638 CAA327636:CAB327638 CJW327636:CJX327638 CTS327636:CTT327638 DDO327636:DDP327638 DNK327636:DNL327638 DXG327636:DXH327638 EHC327636:EHD327638 EQY327636:EQZ327638 FAU327636:FAV327638 FKQ327636:FKR327638 FUM327636:FUN327638 GEI327636:GEJ327638 GOE327636:GOF327638 GYA327636:GYB327638 HHW327636:HHX327638 HRS327636:HRT327638 IBO327636:IBP327638 ILK327636:ILL327638 IVG327636:IVH327638 JFC327636:JFD327638 JOY327636:JOZ327638 JYU327636:JYV327638 KIQ327636:KIR327638 KSM327636:KSN327638 LCI327636:LCJ327638 LME327636:LMF327638 LWA327636:LWB327638 MFW327636:MFX327638 MPS327636:MPT327638 MZO327636:MZP327638 NJK327636:NJL327638 NTG327636:NTH327638 ODC327636:ODD327638 OMY327636:OMZ327638 OWU327636:OWV327638 PGQ327636:PGR327638 PQM327636:PQN327638 QAI327636:QAJ327638 QKE327636:QKF327638 QUA327636:QUB327638 RDW327636:RDX327638 RNS327636:RNT327638 RXO327636:RXP327638 SHK327636:SHL327638 SRG327636:SRH327638 TBC327636:TBD327638 TKY327636:TKZ327638 TUU327636:TUV327638 UEQ327636:UER327638 UOM327636:UON327638 UYI327636:UYJ327638 VIE327636:VIF327638 VSA327636:VSB327638 WBW327636:WBX327638 WLS327636:WLT327638 WVO327636:WVP327638 G393172:H393174 JC393172:JD393174 SY393172:SZ393174 ACU393172:ACV393174 AMQ393172:AMR393174 AWM393172:AWN393174 BGI393172:BGJ393174 BQE393172:BQF393174 CAA393172:CAB393174 CJW393172:CJX393174 CTS393172:CTT393174 DDO393172:DDP393174 DNK393172:DNL393174 DXG393172:DXH393174 EHC393172:EHD393174 EQY393172:EQZ393174 FAU393172:FAV393174 FKQ393172:FKR393174 FUM393172:FUN393174 GEI393172:GEJ393174 GOE393172:GOF393174 GYA393172:GYB393174 HHW393172:HHX393174 HRS393172:HRT393174 IBO393172:IBP393174 ILK393172:ILL393174 IVG393172:IVH393174 JFC393172:JFD393174 JOY393172:JOZ393174 JYU393172:JYV393174 KIQ393172:KIR393174 KSM393172:KSN393174 LCI393172:LCJ393174 LME393172:LMF393174 LWA393172:LWB393174 MFW393172:MFX393174 MPS393172:MPT393174 MZO393172:MZP393174 NJK393172:NJL393174 NTG393172:NTH393174 ODC393172:ODD393174 OMY393172:OMZ393174 OWU393172:OWV393174 PGQ393172:PGR393174 PQM393172:PQN393174 QAI393172:QAJ393174 QKE393172:QKF393174 QUA393172:QUB393174 RDW393172:RDX393174 RNS393172:RNT393174 RXO393172:RXP393174 SHK393172:SHL393174 SRG393172:SRH393174 TBC393172:TBD393174 TKY393172:TKZ393174 TUU393172:TUV393174 UEQ393172:UER393174 UOM393172:UON393174 UYI393172:UYJ393174 VIE393172:VIF393174 VSA393172:VSB393174 WBW393172:WBX393174 WLS393172:WLT393174 WVO393172:WVP393174 G458708:H458710 JC458708:JD458710 SY458708:SZ458710 ACU458708:ACV458710 AMQ458708:AMR458710 AWM458708:AWN458710 BGI458708:BGJ458710 BQE458708:BQF458710 CAA458708:CAB458710 CJW458708:CJX458710 CTS458708:CTT458710 DDO458708:DDP458710 DNK458708:DNL458710 DXG458708:DXH458710 EHC458708:EHD458710 EQY458708:EQZ458710 FAU458708:FAV458710 FKQ458708:FKR458710 FUM458708:FUN458710 GEI458708:GEJ458710 GOE458708:GOF458710 GYA458708:GYB458710 HHW458708:HHX458710 HRS458708:HRT458710 IBO458708:IBP458710 ILK458708:ILL458710 IVG458708:IVH458710 JFC458708:JFD458710 JOY458708:JOZ458710 JYU458708:JYV458710 KIQ458708:KIR458710 KSM458708:KSN458710 LCI458708:LCJ458710 LME458708:LMF458710 LWA458708:LWB458710 MFW458708:MFX458710 MPS458708:MPT458710 MZO458708:MZP458710 NJK458708:NJL458710 NTG458708:NTH458710 ODC458708:ODD458710 OMY458708:OMZ458710 OWU458708:OWV458710 PGQ458708:PGR458710 PQM458708:PQN458710 QAI458708:QAJ458710 QKE458708:QKF458710 QUA458708:QUB458710 RDW458708:RDX458710 RNS458708:RNT458710 RXO458708:RXP458710 SHK458708:SHL458710 SRG458708:SRH458710 TBC458708:TBD458710 TKY458708:TKZ458710 TUU458708:TUV458710 UEQ458708:UER458710 UOM458708:UON458710 UYI458708:UYJ458710 VIE458708:VIF458710 VSA458708:VSB458710 WBW458708:WBX458710 WLS458708:WLT458710 WVO458708:WVP458710 G524244:H524246 JC524244:JD524246 SY524244:SZ524246 ACU524244:ACV524246 AMQ524244:AMR524246 AWM524244:AWN524246 BGI524244:BGJ524246 BQE524244:BQF524246 CAA524244:CAB524246 CJW524244:CJX524246 CTS524244:CTT524246 DDO524244:DDP524246 DNK524244:DNL524246 DXG524244:DXH524246 EHC524244:EHD524246 EQY524244:EQZ524246 FAU524244:FAV524246 FKQ524244:FKR524246 FUM524244:FUN524246 GEI524244:GEJ524246 GOE524244:GOF524246 GYA524244:GYB524246 HHW524244:HHX524246 HRS524244:HRT524246 IBO524244:IBP524246 ILK524244:ILL524246 IVG524244:IVH524246 JFC524244:JFD524246 JOY524244:JOZ524246 JYU524244:JYV524246 KIQ524244:KIR524246 KSM524244:KSN524246 LCI524244:LCJ524246 LME524244:LMF524246 LWA524244:LWB524246 MFW524244:MFX524246 MPS524244:MPT524246 MZO524244:MZP524246 NJK524244:NJL524246 NTG524244:NTH524246 ODC524244:ODD524246 OMY524244:OMZ524246 OWU524244:OWV524246 PGQ524244:PGR524246 PQM524244:PQN524246 QAI524244:QAJ524246 QKE524244:QKF524246 QUA524244:QUB524246 RDW524244:RDX524246 RNS524244:RNT524246 RXO524244:RXP524246 SHK524244:SHL524246 SRG524244:SRH524246 TBC524244:TBD524246 TKY524244:TKZ524246 TUU524244:TUV524246 UEQ524244:UER524246 UOM524244:UON524246 UYI524244:UYJ524246 VIE524244:VIF524246 VSA524244:VSB524246 WBW524244:WBX524246 WLS524244:WLT524246 WVO524244:WVP524246 G589780:H589782 JC589780:JD589782 SY589780:SZ589782 ACU589780:ACV589782 AMQ589780:AMR589782 AWM589780:AWN589782 BGI589780:BGJ589782 BQE589780:BQF589782 CAA589780:CAB589782 CJW589780:CJX589782 CTS589780:CTT589782 DDO589780:DDP589782 DNK589780:DNL589782 DXG589780:DXH589782 EHC589780:EHD589782 EQY589780:EQZ589782 FAU589780:FAV589782 FKQ589780:FKR589782 FUM589780:FUN589782 GEI589780:GEJ589782 GOE589780:GOF589782 GYA589780:GYB589782 HHW589780:HHX589782 HRS589780:HRT589782 IBO589780:IBP589782 ILK589780:ILL589782 IVG589780:IVH589782 JFC589780:JFD589782 JOY589780:JOZ589782 JYU589780:JYV589782 KIQ589780:KIR589782 KSM589780:KSN589782 LCI589780:LCJ589782 LME589780:LMF589782 LWA589780:LWB589782 MFW589780:MFX589782 MPS589780:MPT589782 MZO589780:MZP589782 NJK589780:NJL589782 NTG589780:NTH589782 ODC589780:ODD589782 OMY589780:OMZ589782 OWU589780:OWV589782 PGQ589780:PGR589782 PQM589780:PQN589782 QAI589780:QAJ589782 QKE589780:QKF589782 QUA589780:QUB589782 RDW589780:RDX589782 RNS589780:RNT589782 RXO589780:RXP589782 SHK589780:SHL589782 SRG589780:SRH589782 TBC589780:TBD589782 TKY589780:TKZ589782 TUU589780:TUV589782 UEQ589780:UER589782 UOM589780:UON589782 UYI589780:UYJ589782 VIE589780:VIF589782 VSA589780:VSB589782 WBW589780:WBX589782 WLS589780:WLT589782 WVO589780:WVP589782 G655316:H655318 JC655316:JD655318 SY655316:SZ655318 ACU655316:ACV655318 AMQ655316:AMR655318 AWM655316:AWN655318 BGI655316:BGJ655318 BQE655316:BQF655318 CAA655316:CAB655318 CJW655316:CJX655318 CTS655316:CTT655318 DDO655316:DDP655318 DNK655316:DNL655318 DXG655316:DXH655318 EHC655316:EHD655318 EQY655316:EQZ655318 FAU655316:FAV655318 FKQ655316:FKR655318 FUM655316:FUN655318 GEI655316:GEJ655318 GOE655316:GOF655318 GYA655316:GYB655318 HHW655316:HHX655318 HRS655316:HRT655318 IBO655316:IBP655318 ILK655316:ILL655318 IVG655316:IVH655318 JFC655316:JFD655318 JOY655316:JOZ655318 JYU655316:JYV655318 KIQ655316:KIR655318 KSM655316:KSN655318 LCI655316:LCJ655318 LME655316:LMF655318 LWA655316:LWB655318 MFW655316:MFX655318 MPS655316:MPT655318 MZO655316:MZP655318 NJK655316:NJL655318 NTG655316:NTH655318 ODC655316:ODD655318 OMY655316:OMZ655318 OWU655316:OWV655318 PGQ655316:PGR655318 PQM655316:PQN655318 QAI655316:QAJ655318 QKE655316:QKF655318 QUA655316:QUB655318 RDW655316:RDX655318 RNS655316:RNT655318 RXO655316:RXP655318 SHK655316:SHL655318 SRG655316:SRH655318 TBC655316:TBD655318 TKY655316:TKZ655318 TUU655316:TUV655318 UEQ655316:UER655318 UOM655316:UON655318 UYI655316:UYJ655318 VIE655316:VIF655318 VSA655316:VSB655318 WBW655316:WBX655318 WLS655316:WLT655318 WVO655316:WVP655318 G720852:H720854 JC720852:JD720854 SY720852:SZ720854 ACU720852:ACV720854 AMQ720852:AMR720854 AWM720852:AWN720854 BGI720852:BGJ720854 BQE720852:BQF720854 CAA720852:CAB720854 CJW720852:CJX720854 CTS720852:CTT720854 DDO720852:DDP720854 DNK720852:DNL720854 DXG720852:DXH720854 EHC720852:EHD720854 EQY720852:EQZ720854 FAU720852:FAV720854 FKQ720852:FKR720854 FUM720852:FUN720854 GEI720852:GEJ720854 GOE720852:GOF720854 GYA720852:GYB720854 HHW720852:HHX720854 HRS720852:HRT720854 IBO720852:IBP720854 ILK720852:ILL720854 IVG720852:IVH720854 JFC720852:JFD720854 JOY720852:JOZ720854 JYU720852:JYV720854 KIQ720852:KIR720854 KSM720852:KSN720854 LCI720852:LCJ720854 LME720852:LMF720854 LWA720852:LWB720854 MFW720852:MFX720854 MPS720852:MPT720854 MZO720852:MZP720854 NJK720852:NJL720854 NTG720852:NTH720854 ODC720852:ODD720854 OMY720852:OMZ720854 OWU720852:OWV720854 PGQ720852:PGR720854 PQM720852:PQN720854 QAI720852:QAJ720854 QKE720852:QKF720854 QUA720852:QUB720854 RDW720852:RDX720854 RNS720852:RNT720854 RXO720852:RXP720854 SHK720852:SHL720854 SRG720852:SRH720854 TBC720852:TBD720854 TKY720852:TKZ720854 TUU720852:TUV720854 UEQ720852:UER720854 UOM720852:UON720854 UYI720852:UYJ720854 VIE720852:VIF720854 VSA720852:VSB720854 WBW720852:WBX720854 WLS720852:WLT720854 WVO720852:WVP720854 G786388:H786390 JC786388:JD786390 SY786388:SZ786390 ACU786388:ACV786390 AMQ786388:AMR786390 AWM786388:AWN786390 BGI786388:BGJ786390 BQE786388:BQF786390 CAA786388:CAB786390 CJW786388:CJX786390 CTS786388:CTT786390 DDO786388:DDP786390 DNK786388:DNL786390 DXG786388:DXH786390 EHC786388:EHD786390 EQY786388:EQZ786390 FAU786388:FAV786390 FKQ786388:FKR786390 FUM786388:FUN786390 GEI786388:GEJ786390 GOE786388:GOF786390 GYA786388:GYB786390 HHW786388:HHX786390 HRS786388:HRT786390 IBO786388:IBP786390 ILK786388:ILL786390 IVG786388:IVH786390 JFC786388:JFD786390 JOY786388:JOZ786390 JYU786388:JYV786390 KIQ786388:KIR786390 KSM786388:KSN786390 LCI786388:LCJ786390 LME786388:LMF786390 LWA786388:LWB786390 MFW786388:MFX786390 MPS786388:MPT786390 MZO786388:MZP786390 NJK786388:NJL786390 NTG786388:NTH786390 ODC786388:ODD786390 OMY786388:OMZ786390 OWU786388:OWV786390 PGQ786388:PGR786390 PQM786388:PQN786390 QAI786388:QAJ786390 QKE786388:QKF786390 QUA786388:QUB786390 RDW786388:RDX786390 RNS786388:RNT786390 RXO786388:RXP786390 SHK786388:SHL786390 SRG786388:SRH786390 TBC786388:TBD786390 TKY786388:TKZ786390 TUU786388:TUV786390 UEQ786388:UER786390 UOM786388:UON786390 UYI786388:UYJ786390 VIE786388:VIF786390 VSA786388:VSB786390 WBW786388:WBX786390 WLS786388:WLT786390 WVO786388:WVP786390 G851924:H851926 JC851924:JD851926 SY851924:SZ851926 ACU851924:ACV851926 AMQ851924:AMR851926 AWM851924:AWN851926 BGI851924:BGJ851926 BQE851924:BQF851926 CAA851924:CAB851926 CJW851924:CJX851926 CTS851924:CTT851926 DDO851924:DDP851926 DNK851924:DNL851926 DXG851924:DXH851926 EHC851924:EHD851926 EQY851924:EQZ851926 FAU851924:FAV851926 FKQ851924:FKR851926 FUM851924:FUN851926 GEI851924:GEJ851926 GOE851924:GOF851926 GYA851924:GYB851926 HHW851924:HHX851926 HRS851924:HRT851926 IBO851924:IBP851926 ILK851924:ILL851926 IVG851924:IVH851926 JFC851924:JFD851926 JOY851924:JOZ851926 JYU851924:JYV851926 KIQ851924:KIR851926 KSM851924:KSN851926 LCI851924:LCJ851926 LME851924:LMF851926 LWA851924:LWB851926 MFW851924:MFX851926 MPS851924:MPT851926 MZO851924:MZP851926 NJK851924:NJL851926 NTG851924:NTH851926 ODC851924:ODD851926 OMY851924:OMZ851926 OWU851924:OWV851926 PGQ851924:PGR851926 PQM851924:PQN851926 QAI851924:QAJ851926 QKE851924:QKF851926 QUA851924:QUB851926 RDW851924:RDX851926 RNS851924:RNT851926 RXO851924:RXP851926 SHK851924:SHL851926 SRG851924:SRH851926 TBC851924:TBD851926 TKY851924:TKZ851926 TUU851924:TUV851926 UEQ851924:UER851926 UOM851924:UON851926 UYI851924:UYJ851926 VIE851924:VIF851926 VSA851924:VSB851926 WBW851924:WBX851926 WLS851924:WLT851926 WVO851924:WVP851926 G917460:H917462 JC917460:JD917462 SY917460:SZ917462 ACU917460:ACV917462 AMQ917460:AMR917462 AWM917460:AWN917462 BGI917460:BGJ917462 BQE917460:BQF917462 CAA917460:CAB917462 CJW917460:CJX917462 CTS917460:CTT917462 DDO917460:DDP917462 DNK917460:DNL917462 DXG917460:DXH917462 EHC917460:EHD917462 EQY917460:EQZ917462 FAU917460:FAV917462 FKQ917460:FKR917462 FUM917460:FUN917462 GEI917460:GEJ917462 GOE917460:GOF917462 GYA917460:GYB917462 HHW917460:HHX917462 HRS917460:HRT917462 IBO917460:IBP917462 ILK917460:ILL917462 IVG917460:IVH917462 JFC917460:JFD917462 JOY917460:JOZ917462 JYU917460:JYV917462 KIQ917460:KIR917462 KSM917460:KSN917462 LCI917460:LCJ917462 LME917460:LMF917462 LWA917460:LWB917462 MFW917460:MFX917462 MPS917460:MPT917462 MZO917460:MZP917462 NJK917460:NJL917462 NTG917460:NTH917462 ODC917460:ODD917462 OMY917460:OMZ917462 OWU917460:OWV917462 PGQ917460:PGR917462 PQM917460:PQN917462 QAI917460:QAJ917462 QKE917460:QKF917462 QUA917460:QUB917462 RDW917460:RDX917462 RNS917460:RNT917462 RXO917460:RXP917462 SHK917460:SHL917462 SRG917460:SRH917462 TBC917460:TBD917462 TKY917460:TKZ917462 TUU917460:TUV917462 UEQ917460:UER917462 UOM917460:UON917462 UYI917460:UYJ917462 VIE917460:VIF917462 VSA917460:VSB917462 WBW917460:WBX917462 WLS917460:WLT917462 WVO917460:WVP917462 G982996:H982998 JC982996:JD982998 SY982996:SZ982998 ACU982996:ACV982998 AMQ982996:AMR982998 AWM982996:AWN982998 BGI982996:BGJ982998 BQE982996:BQF982998 CAA982996:CAB982998 CJW982996:CJX982998 CTS982996:CTT982998 DDO982996:DDP982998 DNK982996:DNL982998 DXG982996:DXH982998 EHC982996:EHD982998 EQY982996:EQZ982998 FAU982996:FAV982998 FKQ982996:FKR982998 FUM982996:FUN982998 GEI982996:GEJ982998 GOE982996:GOF982998 GYA982996:GYB982998 HHW982996:HHX982998 HRS982996:HRT982998 IBO982996:IBP982998 ILK982996:ILL982998 IVG982996:IVH982998 JFC982996:JFD982998 JOY982996:JOZ982998 JYU982996:JYV982998 KIQ982996:KIR982998 KSM982996:KSN982998 LCI982996:LCJ982998 LME982996:LMF982998 LWA982996:LWB982998 MFW982996:MFX982998 MPS982996:MPT982998 MZO982996:MZP982998 NJK982996:NJL982998 NTG982996:NTH982998 ODC982996:ODD982998 OMY982996:OMZ982998 OWU982996:OWV982998 PGQ982996:PGR982998 PQM982996:PQN982998 QAI982996:QAJ982998 QKE982996:QKF982998 QUA982996:QUB982998 RDW982996:RDX982998 RNS982996:RNT982998 RXO982996:RXP982998 SHK982996:SHL982998 SRG982996:SRH982998 TBC982996:TBD982998 TKY982996:TKZ982998 TUU982996:TUV982998 UEQ982996:UER982998 UOM982996:UON982998 UYI982996:UYJ982998 VIE982996:VIF982998 VSA982996:VSB982998 WBW982996:WBX982998 WLS982996:WLT982998 WVO982996:WVP982998 G10:G15 JC10:JC15 SY10:SY15 ACU10:ACU15 AMQ10:AMQ15 AWM10:AWM15 BGI10:BGI15 BQE10:BQE15 CAA10:CAA15 CJW10:CJW15 CTS10:CTS15 DDO10:DDO15 DNK10:DNK15 DXG10:DXG15 EHC10:EHC15 EQY10:EQY15 FAU10:FAU15 FKQ10:FKQ15 FUM10:FUM15 GEI10:GEI15 GOE10:GOE15 GYA10:GYA15 HHW10:HHW15 HRS10:HRS15 IBO10:IBO15 ILK10:ILK15 IVG10:IVG15 JFC10:JFC15 JOY10:JOY15 JYU10:JYU15 KIQ10:KIQ15 KSM10:KSM15 LCI10:LCI15 LME10:LME15 LWA10:LWA15 MFW10:MFW15 MPS10:MPS15 MZO10:MZO15 NJK10:NJK15 NTG10:NTG15 ODC10:ODC15 OMY10:OMY15 OWU10:OWU15 PGQ10:PGQ15 PQM10:PQM15 QAI10:QAI15 QKE10:QKE15 QUA10:QUA15 RDW10:RDW15 RNS10:RNS15 RXO10:RXO15 SHK10:SHK15 SRG10:SRG15 TBC10:TBC15 TKY10:TKY15 TUU10:TUU15 UEQ10:UEQ15 UOM10:UOM15 UYI10:UYI15 VIE10:VIE15 VSA10:VSA15 WBW10:WBW15 WLS10:WLS15 WVO10:WVO15 G65482:G65487 JC65482:JC65487 SY65482:SY65487 ACU65482:ACU65487 AMQ65482:AMQ65487 AWM65482:AWM65487 BGI65482:BGI65487 BQE65482:BQE65487 CAA65482:CAA65487 CJW65482:CJW65487 CTS65482:CTS65487 DDO65482:DDO65487 DNK65482:DNK65487 DXG65482:DXG65487 EHC65482:EHC65487 EQY65482:EQY65487 FAU65482:FAU65487 FKQ65482:FKQ65487 FUM65482:FUM65487 GEI65482:GEI65487 GOE65482:GOE65487 GYA65482:GYA65487 HHW65482:HHW65487 HRS65482:HRS65487 IBO65482:IBO65487 ILK65482:ILK65487 IVG65482:IVG65487 JFC65482:JFC65487 JOY65482:JOY65487 JYU65482:JYU65487 KIQ65482:KIQ65487 KSM65482:KSM65487 LCI65482:LCI65487 LME65482:LME65487 LWA65482:LWA65487 MFW65482:MFW65487 MPS65482:MPS65487 MZO65482:MZO65487 NJK65482:NJK65487 NTG65482:NTG65487 ODC65482:ODC65487 OMY65482:OMY65487 OWU65482:OWU65487 PGQ65482:PGQ65487 PQM65482:PQM65487 QAI65482:QAI65487 QKE65482:QKE65487 QUA65482:QUA65487 RDW65482:RDW65487 RNS65482:RNS65487 RXO65482:RXO65487 SHK65482:SHK65487 SRG65482:SRG65487 TBC65482:TBC65487 TKY65482:TKY65487 TUU65482:TUU65487 UEQ65482:UEQ65487 UOM65482:UOM65487 UYI65482:UYI65487 VIE65482:VIE65487 VSA65482:VSA65487 WBW65482:WBW65487 WLS65482:WLS65487 WVO65482:WVO65487 G131018:G131023 JC131018:JC131023 SY131018:SY131023 ACU131018:ACU131023 AMQ131018:AMQ131023 AWM131018:AWM131023 BGI131018:BGI131023 BQE131018:BQE131023 CAA131018:CAA131023 CJW131018:CJW131023 CTS131018:CTS131023 DDO131018:DDO131023 DNK131018:DNK131023 DXG131018:DXG131023 EHC131018:EHC131023 EQY131018:EQY131023 FAU131018:FAU131023 FKQ131018:FKQ131023 FUM131018:FUM131023 GEI131018:GEI131023 GOE131018:GOE131023 GYA131018:GYA131023 HHW131018:HHW131023 HRS131018:HRS131023 IBO131018:IBO131023 ILK131018:ILK131023 IVG131018:IVG131023 JFC131018:JFC131023 JOY131018:JOY131023 JYU131018:JYU131023 KIQ131018:KIQ131023 KSM131018:KSM131023 LCI131018:LCI131023 LME131018:LME131023 LWA131018:LWA131023 MFW131018:MFW131023 MPS131018:MPS131023 MZO131018:MZO131023 NJK131018:NJK131023 NTG131018:NTG131023 ODC131018:ODC131023 OMY131018:OMY131023 OWU131018:OWU131023 PGQ131018:PGQ131023 PQM131018:PQM131023 QAI131018:QAI131023 QKE131018:QKE131023 QUA131018:QUA131023 RDW131018:RDW131023 RNS131018:RNS131023 RXO131018:RXO131023 SHK131018:SHK131023 SRG131018:SRG131023 TBC131018:TBC131023 TKY131018:TKY131023 TUU131018:TUU131023 UEQ131018:UEQ131023 UOM131018:UOM131023 UYI131018:UYI131023 VIE131018:VIE131023 VSA131018:VSA131023 WBW131018:WBW131023 WLS131018:WLS131023 WVO131018:WVO131023 G196554:G196559 JC196554:JC196559 SY196554:SY196559 ACU196554:ACU196559 AMQ196554:AMQ196559 AWM196554:AWM196559 BGI196554:BGI196559 BQE196554:BQE196559 CAA196554:CAA196559 CJW196554:CJW196559 CTS196554:CTS196559 DDO196554:DDO196559 DNK196554:DNK196559 DXG196554:DXG196559 EHC196554:EHC196559 EQY196554:EQY196559 FAU196554:FAU196559 FKQ196554:FKQ196559 FUM196554:FUM196559 GEI196554:GEI196559 GOE196554:GOE196559 GYA196554:GYA196559 HHW196554:HHW196559 HRS196554:HRS196559 IBO196554:IBO196559 ILK196554:ILK196559 IVG196554:IVG196559 JFC196554:JFC196559 JOY196554:JOY196559 JYU196554:JYU196559 KIQ196554:KIQ196559 KSM196554:KSM196559 LCI196554:LCI196559 LME196554:LME196559 LWA196554:LWA196559 MFW196554:MFW196559 MPS196554:MPS196559 MZO196554:MZO196559 NJK196554:NJK196559 NTG196554:NTG196559 ODC196554:ODC196559 OMY196554:OMY196559 OWU196554:OWU196559 PGQ196554:PGQ196559 PQM196554:PQM196559 QAI196554:QAI196559 QKE196554:QKE196559 QUA196554:QUA196559 RDW196554:RDW196559 RNS196554:RNS196559 RXO196554:RXO196559 SHK196554:SHK196559 SRG196554:SRG196559 TBC196554:TBC196559 TKY196554:TKY196559 TUU196554:TUU196559 UEQ196554:UEQ196559 UOM196554:UOM196559 UYI196554:UYI196559 VIE196554:VIE196559 VSA196554:VSA196559 WBW196554:WBW196559 WLS196554:WLS196559 WVO196554:WVO196559 G262090:G262095 JC262090:JC262095 SY262090:SY262095 ACU262090:ACU262095 AMQ262090:AMQ262095 AWM262090:AWM262095 BGI262090:BGI262095 BQE262090:BQE262095 CAA262090:CAA262095 CJW262090:CJW262095 CTS262090:CTS262095 DDO262090:DDO262095 DNK262090:DNK262095 DXG262090:DXG262095 EHC262090:EHC262095 EQY262090:EQY262095 FAU262090:FAU262095 FKQ262090:FKQ262095 FUM262090:FUM262095 GEI262090:GEI262095 GOE262090:GOE262095 GYA262090:GYA262095 HHW262090:HHW262095 HRS262090:HRS262095 IBO262090:IBO262095 ILK262090:ILK262095 IVG262090:IVG262095 JFC262090:JFC262095 JOY262090:JOY262095 JYU262090:JYU262095 KIQ262090:KIQ262095 KSM262090:KSM262095 LCI262090:LCI262095 LME262090:LME262095 LWA262090:LWA262095 MFW262090:MFW262095 MPS262090:MPS262095 MZO262090:MZO262095 NJK262090:NJK262095 NTG262090:NTG262095 ODC262090:ODC262095 OMY262090:OMY262095 OWU262090:OWU262095 PGQ262090:PGQ262095 PQM262090:PQM262095 QAI262090:QAI262095 QKE262090:QKE262095 QUA262090:QUA262095 RDW262090:RDW262095 RNS262090:RNS262095 RXO262090:RXO262095 SHK262090:SHK262095 SRG262090:SRG262095 TBC262090:TBC262095 TKY262090:TKY262095 TUU262090:TUU262095 UEQ262090:UEQ262095 UOM262090:UOM262095 UYI262090:UYI262095 VIE262090:VIE262095 VSA262090:VSA262095 WBW262090:WBW262095 WLS262090:WLS262095 WVO262090:WVO262095 G327626:G327631 JC327626:JC327631 SY327626:SY327631 ACU327626:ACU327631 AMQ327626:AMQ327631 AWM327626:AWM327631 BGI327626:BGI327631 BQE327626:BQE327631 CAA327626:CAA327631 CJW327626:CJW327631 CTS327626:CTS327631 DDO327626:DDO327631 DNK327626:DNK327631 DXG327626:DXG327631 EHC327626:EHC327631 EQY327626:EQY327631 FAU327626:FAU327631 FKQ327626:FKQ327631 FUM327626:FUM327631 GEI327626:GEI327631 GOE327626:GOE327631 GYA327626:GYA327631 HHW327626:HHW327631 HRS327626:HRS327631 IBO327626:IBO327631 ILK327626:ILK327631 IVG327626:IVG327631 JFC327626:JFC327631 JOY327626:JOY327631 JYU327626:JYU327631 KIQ327626:KIQ327631 KSM327626:KSM327631 LCI327626:LCI327631 LME327626:LME327631 LWA327626:LWA327631 MFW327626:MFW327631 MPS327626:MPS327631 MZO327626:MZO327631 NJK327626:NJK327631 NTG327626:NTG327631 ODC327626:ODC327631 OMY327626:OMY327631 OWU327626:OWU327631 PGQ327626:PGQ327631 PQM327626:PQM327631 QAI327626:QAI327631 QKE327626:QKE327631 QUA327626:QUA327631 RDW327626:RDW327631 RNS327626:RNS327631 RXO327626:RXO327631 SHK327626:SHK327631 SRG327626:SRG327631 TBC327626:TBC327631 TKY327626:TKY327631 TUU327626:TUU327631 UEQ327626:UEQ327631 UOM327626:UOM327631 UYI327626:UYI327631 VIE327626:VIE327631 VSA327626:VSA327631 WBW327626:WBW327631 WLS327626:WLS327631 WVO327626:WVO327631 G393162:G393167 JC393162:JC393167 SY393162:SY393167 ACU393162:ACU393167 AMQ393162:AMQ393167 AWM393162:AWM393167 BGI393162:BGI393167 BQE393162:BQE393167 CAA393162:CAA393167 CJW393162:CJW393167 CTS393162:CTS393167 DDO393162:DDO393167 DNK393162:DNK393167 DXG393162:DXG393167 EHC393162:EHC393167 EQY393162:EQY393167 FAU393162:FAU393167 FKQ393162:FKQ393167 FUM393162:FUM393167 GEI393162:GEI393167 GOE393162:GOE393167 GYA393162:GYA393167 HHW393162:HHW393167 HRS393162:HRS393167 IBO393162:IBO393167 ILK393162:ILK393167 IVG393162:IVG393167 JFC393162:JFC393167 JOY393162:JOY393167 JYU393162:JYU393167 KIQ393162:KIQ393167 KSM393162:KSM393167 LCI393162:LCI393167 LME393162:LME393167 LWA393162:LWA393167 MFW393162:MFW393167 MPS393162:MPS393167 MZO393162:MZO393167 NJK393162:NJK393167 NTG393162:NTG393167 ODC393162:ODC393167 OMY393162:OMY393167 OWU393162:OWU393167 PGQ393162:PGQ393167 PQM393162:PQM393167 QAI393162:QAI393167 QKE393162:QKE393167 QUA393162:QUA393167 RDW393162:RDW393167 RNS393162:RNS393167 RXO393162:RXO393167 SHK393162:SHK393167 SRG393162:SRG393167 TBC393162:TBC393167 TKY393162:TKY393167 TUU393162:TUU393167 UEQ393162:UEQ393167 UOM393162:UOM393167 UYI393162:UYI393167 VIE393162:VIE393167 VSA393162:VSA393167 WBW393162:WBW393167 WLS393162:WLS393167 WVO393162:WVO393167 G458698:G458703 JC458698:JC458703 SY458698:SY458703 ACU458698:ACU458703 AMQ458698:AMQ458703 AWM458698:AWM458703 BGI458698:BGI458703 BQE458698:BQE458703 CAA458698:CAA458703 CJW458698:CJW458703 CTS458698:CTS458703 DDO458698:DDO458703 DNK458698:DNK458703 DXG458698:DXG458703 EHC458698:EHC458703 EQY458698:EQY458703 FAU458698:FAU458703 FKQ458698:FKQ458703 FUM458698:FUM458703 GEI458698:GEI458703 GOE458698:GOE458703 GYA458698:GYA458703 HHW458698:HHW458703 HRS458698:HRS458703 IBO458698:IBO458703 ILK458698:ILK458703 IVG458698:IVG458703 JFC458698:JFC458703 JOY458698:JOY458703 JYU458698:JYU458703 KIQ458698:KIQ458703 KSM458698:KSM458703 LCI458698:LCI458703 LME458698:LME458703 LWA458698:LWA458703 MFW458698:MFW458703 MPS458698:MPS458703 MZO458698:MZO458703 NJK458698:NJK458703 NTG458698:NTG458703 ODC458698:ODC458703 OMY458698:OMY458703 OWU458698:OWU458703 PGQ458698:PGQ458703 PQM458698:PQM458703 QAI458698:QAI458703 QKE458698:QKE458703 QUA458698:QUA458703 RDW458698:RDW458703 RNS458698:RNS458703 RXO458698:RXO458703 SHK458698:SHK458703 SRG458698:SRG458703 TBC458698:TBC458703 TKY458698:TKY458703 TUU458698:TUU458703 UEQ458698:UEQ458703 UOM458698:UOM458703 UYI458698:UYI458703 VIE458698:VIE458703 VSA458698:VSA458703 WBW458698:WBW458703 WLS458698:WLS458703 WVO458698:WVO458703 G524234:G524239 JC524234:JC524239 SY524234:SY524239 ACU524234:ACU524239 AMQ524234:AMQ524239 AWM524234:AWM524239 BGI524234:BGI524239 BQE524234:BQE524239 CAA524234:CAA524239 CJW524234:CJW524239 CTS524234:CTS524239 DDO524234:DDO524239 DNK524234:DNK524239 DXG524234:DXG524239 EHC524234:EHC524239 EQY524234:EQY524239 FAU524234:FAU524239 FKQ524234:FKQ524239 FUM524234:FUM524239 GEI524234:GEI524239 GOE524234:GOE524239 GYA524234:GYA524239 HHW524234:HHW524239 HRS524234:HRS524239 IBO524234:IBO524239 ILK524234:ILK524239 IVG524234:IVG524239 JFC524234:JFC524239 JOY524234:JOY524239 JYU524234:JYU524239 KIQ524234:KIQ524239 KSM524234:KSM524239 LCI524234:LCI524239 LME524234:LME524239 LWA524234:LWA524239 MFW524234:MFW524239 MPS524234:MPS524239 MZO524234:MZO524239 NJK524234:NJK524239 NTG524234:NTG524239 ODC524234:ODC524239 OMY524234:OMY524239 OWU524234:OWU524239 PGQ524234:PGQ524239 PQM524234:PQM524239 QAI524234:QAI524239 QKE524234:QKE524239 QUA524234:QUA524239 RDW524234:RDW524239 RNS524234:RNS524239 RXO524234:RXO524239 SHK524234:SHK524239 SRG524234:SRG524239 TBC524234:TBC524239 TKY524234:TKY524239 TUU524234:TUU524239 UEQ524234:UEQ524239 UOM524234:UOM524239 UYI524234:UYI524239 VIE524234:VIE524239 VSA524234:VSA524239 WBW524234:WBW524239 WLS524234:WLS524239 WVO524234:WVO524239 G589770:G589775 JC589770:JC589775 SY589770:SY589775 ACU589770:ACU589775 AMQ589770:AMQ589775 AWM589770:AWM589775 BGI589770:BGI589775 BQE589770:BQE589775 CAA589770:CAA589775 CJW589770:CJW589775 CTS589770:CTS589775 DDO589770:DDO589775 DNK589770:DNK589775 DXG589770:DXG589775 EHC589770:EHC589775 EQY589770:EQY589775 FAU589770:FAU589775 FKQ589770:FKQ589775 FUM589770:FUM589775 GEI589770:GEI589775 GOE589770:GOE589775 GYA589770:GYA589775 HHW589770:HHW589775 HRS589770:HRS589775 IBO589770:IBO589775 ILK589770:ILK589775 IVG589770:IVG589775 JFC589770:JFC589775 JOY589770:JOY589775 JYU589770:JYU589775 KIQ589770:KIQ589775 KSM589770:KSM589775 LCI589770:LCI589775 LME589770:LME589775 LWA589770:LWA589775 MFW589770:MFW589775 MPS589770:MPS589775 MZO589770:MZO589775 NJK589770:NJK589775 NTG589770:NTG589775 ODC589770:ODC589775 OMY589770:OMY589775 OWU589770:OWU589775 PGQ589770:PGQ589775 PQM589770:PQM589775 QAI589770:QAI589775 QKE589770:QKE589775 QUA589770:QUA589775 RDW589770:RDW589775 RNS589770:RNS589775 RXO589770:RXO589775 SHK589770:SHK589775 SRG589770:SRG589775 TBC589770:TBC589775 TKY589770:TKY589775 TUU589770:TUU589775 UEQ589770:UEQ589775 UOM589770:UOM589775 UYI589770:UYI589775 VIE589770:VIE589775 VSA589770:VSA589775 WBW589770:WBW589775 WLS589770:WLS589775 WVO589770:WVO589775 G655306:G655311 JC655306:JC655311 SY655306:SY655311 ACU655306:ACU655311 AMQ655306:AMQ655311 AWM655306:AWM655311 BGI655306:BGI655311 BQE655306:BQE655311 CAA655306:CAA655311 CJW655306:CJW655311 CTS655306:CTS655311 DDO655306:DDO655311 DNK655306:DNK655311 DXG655306:DXG655311 EHC655306:EHC655311 EQY655306:EQY655311 FAU655306:FAU655311 FKQ655306:FKQ655311 FUM655306:FUM655311 GEI655306:GEI655311 GOE655306:GOE655311 GYA655306:GYA655311 HHW655306:HHW655311 HRS655306:HRS655311 IBO655306:IBO655311 ILK655306:ILK655311 IVG655306:IVG655311 JFC655306:JFC655311 JOY655306:JOY655311 JYU655306:JYU655311 KIQ655306:KIQ655311 KSM655306:KSM655311 LCI655306:LCI655311 LME655306:LME655311 LWA655306:LWA655311 MFW655306:MFW655311 MPS655306:MPS655311 MZO655306:MZO655311 NJK655306:NJK655311 NTG655306:NTG655311 ODC655306:ODC655311 OMY655306:OMY655311 OWU655306:OWU655311 PGQ655306:PGQ655311 PQM655306:PQM655311 QAI655306:QAI655311 QKE655306:QKE655311 QUA655306:QUA655311 RDW655306:RDW655311 RNS655306:RNS655311 RXO655306:RXO655311 SHK655306:SHK655311 SRG655306:SRG655311 TBC655306:TBC655311 TKY655306:TKY655311 TUU655306:TUU655311 UEQ655306:UEQ655311 UOM655306:UOM655311 UYI655306:UYI655311 VIE655306:VIE655311 VSA655306:VSA655311 WBW655306:WBW655311 WLS655306:WLS655311 WVO655306:WVO655311 G720842:G720847 JC720842:JC720847 SY720842:SY720847 ACU720842:ACU720847 AMQ720842:AMQ720847 AWM720842:AWM720847 BGI720842:BGI720847 BQE720842:BQE720847 CAA720842:CAA720847 CJW720842:CJW720847 CTS720842:CTS720847 DDO720842:DDO720847 DNK720842:DNK720847 DXG720842:DXG720847 EHC720842:EHC720847 EQY720842:EQY720847 FAU720842:FAU720847 FKQ720842:FKQ720847 FUM720842:FUM720847 GEI720842:GEI720847 GOE720842:GOE720847 GYA720842:GYA720847 HHW720842:HHW720847 HRS720842:HRS720847 IBO720842:IBO720847 ILK720842:ILK720847 IVG720842:IVG720847 JFC720842:JFC720847 JOY720842:JOY720847 JYU720842:JYU720847 KIQ720842:KIQ720847 KSM720842:KSM720847 LCI720842:LCI720847 LME720842:LME720847 LWA720842:LWA720847 MFW720842:MFW720847 MPS720842:MPS720847 MZO720842:MZO720847 NJK720842:NJK720847 NTG720842:NTG720847 ODC720842:ODC720847 OMY720842:OMY720847 OWU720842:OWU720847 PGQ720842:PGQ720847 PQM720842:PQM720847 QAI720842:QAI720847 QKE720842:QKE720847 QUA720842:QUA720847 RDW720842:RDW720847 RNS720842:RNS720847 RXO720842:RXO720847 SHK720842:SHK720847 SRG720842:SRG720847 TBC720842:TBC720847 TKY720842:TKY720847 TUU720842:TUU720847 UEQ720842:UEQ720847 UOM720842:UOM720847 UYI720842:UYI720847 VIE720842:VIE720847 VSA720842:VSA720847 WBW720842:WBW720847 WLS720842:WLS720847 WVO720842:WVO720847 G786378:G786383 JC786378:JC786383 SY786378:SY786383 ACU786378:ACU786383 AMQ786378:AMQ786383 AWM786378:AWM786383 BGI786378:BGI786383 BQE786378:BQE786383 CAA786378:CAA786383 CJW786378:CJW786383 CTS786378:CTS786383 DDO786378:DDO786383 DNK786378:DNK786383 DXG786378:DXG786383 EHC786378:EHC786383 EQY786378:EQY786383 FAU786378:FAU786383 FKQ786378:FKQ786383 FUM786378:FUM786383 GEI786378:GEI786383 GOE786378:GOE786383 GYA786378:GYA786383 HHW786378:HHW786383 HRS786378:HRS786383 IBO786378:IBO786383 ILK786378:ILK786383 IVG786378:IVG786383 JFC786378:JFC786383 JOY786378:JOY786383 JYU786378:JYU786383 KIQ786378:KIQ786383 KSM786378:KSM786383 LCI786378:LCI786383 LME786378:LME786383 LWA786378:LWA786383 MFW786378:MFW786383 MPS786378:MPS786383 MZO786378:MZO786383 NJK786378:NJK786383 NTG786378:NTG786383 ODC786378:ODC786383 OMY786378:OMY786383 OWU786378:OWU786383 PGQ786378:PGQ786383 PQM786378:PQM786383 QAI786378:QAI786383 QKE786378:QKE786383 QUA786378:QUA786383 RDW786378:RDW786383 RNS786378:RNS786383 RXO786378:RXO786383 SHK786378:SHK786383 SRG786378:SRG786383 TBC786378:TBC786383 TKY786378:TKY786383 TUU786378:TUU786383 UEQ786378:UEQ786383 UOM786378:UOM786383 UYI786378:UYI786383 VIE786378:VIE786383 VSA786378:VSA786383 WBW786378:WBW786383 WLS786378:WLS786383 WVO786378:WVO786383 G851914:G851919 JC851914:JC851919 SY851914:SY851919 ACU851914:ACU851919 AMQ851914:AMQ851919 AWM851914:AWM851919 BGI851914:BGI851919 BQE851914:BQE851919 CAA851914:CAA851919 CJW851914:CJW851919 CTS851914:CTS851919 DDO851914:DDO851919 DNK851914:DNK851919 DXG851914:DXG851919 EHC851914:EHC851919 EQY851914:EQY851919 FAU851914:FAU851919 FKQ851914:FKQ851919 FUM851914:FUM851919 GEI851914:GEI851919 GOE851914:GOE851919 GYA851914:GYA851919 HHW851914:HHW851919 HRS851914:HRS851919 IBO851914:IBO851919 ILK851914:ILK851919 IVG851914:IVG851919 JFC851914:JFC851919 JOY851914:JOY851919 JYU851914:JYU851919 KIQ851914:KIQ851919 KSM851914:KSM851919 LCI851914:LCI851919 LME851914:LME851919 LWA851914:LWA851919 MFW851914:MFW851919 MPS851914:MPS851919 MZO851914:MZO851919 NJK851914:NJK851919 NTG851914:NTG851919 ODC851914:ODC851919 OMY851914:OMY851919 OWU851914:OWU851919 PGQ851914:PGQ851919 PQM851914:PQM851919 QAI851914:QAI851919 QKE851914:QKE851919 QUA851914:QUA851919 RDW851914:RDW851919 RNS851914:RNS851919 RXO851914:RXO851919 SHK851914:SHK851919 SRG851914:SRG851919 TBC851914:TBC851919 TKY851914:TKY851919 TUU851914:TUU851919 UEQ851914:UEQ851919 UOM851914:UOM851919 UYI851914:UYI851919 VIE851914:VIE851919 VSA851914:VSA851919 WBW851914:WBW851919 WLS851914:WLS851919 WVO851914:WVO851919 G917450:G917455 JC917450:JC917455 SY917450:SY917455 ACU917450:ACU917455 AMQ917450:AMQ917455 AWM917450:AWM917455 BGI917450:BGI917455 BQE917450:BQE917455 CAA917450:CAA917455 CJW917450:CJW917455 CTS917450:CTS917455 DDO917450:DDO917455 DNK917450:DNK917455 DXG917450:DXG917455 EHC917450:EHC917455 EQY917450:EQY917455 FAU917450:FAU917455 FKQ917450:FKQ917455 FUM917450:FUM917455 GEI917450:GEI917455 GOE917450:GOE917455 GYA917450:GYA917455 HHW917450:HHW917455 HRS917450:HRS917455 IBO917450:IBO917455 ILK917450:ILK917455 IVG917450:IVG917455 JFC917450:JFC917455 JOY917450:JOY917455 JYU917450:JYU917455 KIQ917450:KIQ917455 KSM917450:KSM917455 LCI917450:LCI917455 LME917450:LME917455 LWA917450:LWA917455 MFW917450:MFW917455 MPS917450:MPS917455 MZO917450:MZO917455 NJK917450:NJK917455 NTG917450:NTG917455 ODC917450:ODC917455 OMY917450:OMY917455 OWU917450:OWU917455 PGQ917450:PGQ917455 PQM917450:PQM917455 QAI917450:QAI917455 QKE917450:QKE917455 QUA917450:QUA917455 RDW917450:RDW917455 RNS917450:RNS917455 RXO917450:RXO917455 SHK917450:SHK917455 SRG917450:SRG917455 TBC917450:TBC917455 TKY917450:TKY917455 TUU917450:TUU917455 UEQ917450:UEQ917455 UOM917450:UOM917455 UYI917450:UYI917455 VIE917450:VIE917455 VSA917450:VSA917455 WBW917450:WBW917455 WLS917450:WLS917455 WVO917450:WVO917455 G982986:G982991 JC982986:JC982991 SY982986:SY982991 ACU982986:ACU982991 AMQ982986:AMQ982991 AWM982986:AWM982991 BGI982986:BGI982991 BQE982986:BQE982991 CAA982986:CAA982991 CJW982986:CJW982991 CTS982986:CTS982991 DDO982986:DDO982991 DNK982986:DNK982991 DXG982986:DXG982991 EHC982986:EHC982991 EQY982986:EQY982991 FAU982986:FAU982991 FKQ982986:FKQ982991 FUM982986:FUM982991 GEI982986:GEI982991 GOE982986:GOE982991 GYA982986:GYA982991 HHW982986:HHW982991 HRS982986:HRS982991 IBO982986:IBO982991 ILK982986:ILK982991 IVG982986:IVG982991 JFC982986:JFC982991 JOY982986:JOY982991 JYU982986:JYU982991 KIQ982986:KIQ982991 KSM982986:KSM982991 LCI982986:LCI982991 LME982986:LME982991 LWA982986:LWA982991 MFW982986:MFW982991 MPS982986:MPS982991 MZO982986:MZO982991 NJK982986:NJK982991 NTG982986:NTG982991 ODC982986:ODC982991 OMY982986:OMY982991 OWU982986:OWU982991 PGQ982986:PGQ982991 PQM982986:PQM982991 QAI982986:QAI982991 QKE982986:QKE982991 QUA982986:QUA982991 RDW982986:RDW982991 RNS982986:RNS982991 RXO982986:RXO982991 SHK982986:SHK982991 SRG982986:SRG982991 TBC982986:TBC982991 TKY982986:TKY982991 TUU982986:TUU982991 UEQ982986:UEQ982991 UOM982986:UOM982991 UYI982986:UYI982991 VIE982986:VIE982991 VSA982986:VSA982991 WBW982986:WBW982991 WLS982986:WLS982991 WVO982986:WVO982991 H65554:H65556 JD65554:JD65556 SZ65554:SZ65556 ACV65554:ACV65556 AMR65554:AMR65556 AWN65554:AWN65556 BGJ65554:BGJ65556 BQF65554:BQF65556 CAB65554:CAB65556 CJX65554:CJX65556 CTT65554:CTT65556 DDP65554:DDP65556 DNL65554:DNL65556 DXH65554:DXH65556 EHD65554:EHD65556 EQZ65554:EQZ65556 FAV65554:FAV65556 FKR65554:FKR65556 FUN65554:FUN65556 GEJ65554:GEJ65556 GOF65554:GOF65556 GYB65554:GYB65556 HHX65554:HHX65556 HRT65554:HRT65556 IBP65554:IBP65556 ILL65554:ILL65556 IVH65554:IVH65556 JFD65554:JFD65556 JOZ65554:JOZ65556 JYV65554:JYV65556 KIR65554:KIR65556 KSN65554:KSN65556 LCJ65554:LCJ65556 LMF65554:LMF65556 LWB65554:LWB65556 MFX65554:MFX65556 MPT65554:MPT65556 MZP65554:MZP65556 NJL65554:NJL65556 NTH65554:NTH65556 ODD65554:ODD65556 OMZ65554:OMZ65556 OWV65554:OWV65556 PGR65554:PGR65556 PQN65554:PQN65556 QAJ65554:QAJ65556 QKF65554:QKF65556 QUB65554:QUB65556 RDX65554:RDX65556 RNT65554:RNT65556 RXP65554:RXP65556 SHL65554:SHL65556 SRH65554:SRH65556 TBD65554:TBD65556 TKZ65554:TKZ65556 TUV65554:TUV65556 UER65554:UER65556 UON65554:UON65556 UYJ65554:UYJ65556 VIF65554:VIF65556 VSB65554:VSB65556 WBX65554:WBX65556 WLT65554:WLT65556 WVP65554:WVP65556 H131090:H131092 JD131090:JD131092 SZ131090:SZ131092 ACV131090:ACV131092 AMR131090:AMR131092 AWN131090:AWN131092 BGJ131090:BGJ131092 BQF131090:BQF131092 CAB131090:CAB131092 CJX131090:CJX131092 CTT131090:CTT131092 DDP131090:DDP131092 DNL131090:DNL131092 DXH131090:DXH131092 EHD131090:EHD131092 EQZ131090:EQZ131092 FAV131090:FAV131092 FKR131090:FKR131092 FUN131090:FUN131092 GEJ131090:GEJ131092 GOF131090:GOF131092 GYB131090:GYB131092 HHX131090:HHX131092 HRT131090:HRT131092 IBP131090:IBP131092 ILL131090:ILL131092 IVH131090:IVH131092 JFD131090:JFD131092 JOZ131090:JOZ131092 JYV131090:JYV131092 KIR131090:KIR131092 KSN131090:KSN131092 LCJ131090:LCJ131092 LMF131090:LMF131092 LWB131090:LWB131092 MFX131090:MFX131092 MPT131090:MPT131092 MZP131090:MZP131092 NJL131090:NJL131092 NTH131090:NTH131092 ODD131090:ODD131092 OMZ131090:OMZ131092 OWV131090:OWV131092 PGR131090:PGR131092 PQN131090:PQN131092 QAJ131090:QAJ131092 QKF131090:QKF131092 QUB131090:QUB131092 RDX131090:RDX131092 RNT131090:RNT131092 RXP131090:RXP131092 SHL131090:SHL131092 SRH131090:SRH131092 TBD131090:TBD131092 TKZ131090:TKZ131092 TUV131090:TUV131092 UER131090:UER131092 UON131090:UON131092 UYJ131090:UYJ131092 VIF131090:VIF131092 VSB131090:VSB131092 WBX131090:WBX131092 WLT131090:WLT131092 WVP131090:WVP131092 H196626:H196628 JD196626:JD196628 SZ196626:SZ196628 ACV196626:ACV196628 AMR196626:AMR196628 AWN196626:AWN196628 BGJ196626:BGJ196628 BQF196626:BQF196628 CAB196626:CAB196628 CJX196626:CJX196628 CTT196626:CTT196628 DDP196626:DDP196628 DNL196626:DNL196628 DXH196626:DXH196628 EHD196626:EHD196628 EQZ196626:EQZ196628 FAV196626:FAV196628 FKR196626:FKR196628 FUN196626:FUN196628 GEJ196626:GEJ196628 GOF196626:GOF196628 GYB196626:GYB196628 HHX196626:HHX196628 HRT196626:HRT196628 IBP196626:IBP196628 ILL196626:ILL196628 IVH196626:IVH196628 JFD196626:JFD196628 JOZ196626:JOZ196628 JYV196626:JYV196628 KIR196626:KIR196628 KSN196626:KSN196628 LCJ196626:LCJ196628 LMF196626:LMF196628 LWB196626:LWB196628 MFX196626:MFX196628 MPT196626:MPT196628 MZP196626:MZP196628 NJL196626:NJL196628 NTH196626:NTH196628 ODD196626:ODD196628 OMZ196626:OMZ196628 OWV196626:OWV196628 PGR196626:PGR196628 PQN196626:PQN196628 QAJ196626:QAJ196628 QKF196626:QKF196628 QUB196626:QUB196628 RDX196626:RDX196628 RNT196626:RNT196628 RXP196626:RXP196628 SHL196626:SHL196628 SRH196626:SRH196628 TBD196626:TBD196628 TKZ196626:TKZ196628 TUV196626:TUV196628 UER196626:UER196628 UON196626:UON196628 UYJ196626:UYJ196628 VIF196626:VIF196628 VSB196626:VSB196628 WBX196626:WBX196628 WLT196626:WLT196628 WVP196626:WVP196628 H262162:H262164 JD262162:JD262164 SZ262162:SZ262164 ACV262162:ACV262164 AMR262162:AMR262164 AWN262162:AWN262164 BGJ262162:BGJ262164 BQF262162:BQF262164 CAB262162:CAB262164 CJX262162:CJX262164 CTT262162:CTT262164 DDP262162:DDP262164 DNL262162:DNL262164 DXH262162:DXH262164 EHD262162:EHD262164 EQZ262162:EQZ262164 FAV262162:FAV262164 FKR262162:FKR262164 FUN262162:FUN262164 GEJ262162:GEJ262164 GOF262162:GOF262164 GYB262162:GYB262164 HHX262162:HHX262164 HRT262162:HRT262164 IBP262162:IBP262164 ILL262162:ILL262164 IVH262162:IVH262164 JFD262162:JFD262164 JOZ262162:JOZ262164 JYV262162:JYV262164 KIR262162:KIR262164 KSN262162:KSN262164 LCJ262162:LCJ262164 LMF262162:LMF262164 LWB262162:LWB262164 MFX262162:MFX262164 MPT262162:MPT262164 MZP262162:MZP262164 NJL262162:NJL262164 NTH262162:NTH262164 ODD262162:ODD262164 OMZ262162:OMZ262164 OWV262162:OWV262164 PGR262162:PGR262164 PQN262162:PQN262164 QAJ262162:QAJ262164 QKF262162:QKF262164 QUB262162:QUB262164 RDX262162:RDX262164 RNT262162:RNT262164 RXP262162:RXP262164 SHL262162:SHL262164 SRH262162:SRH262164 TBD262162:TBD262164 TKZ262162:TKZ262164 TUV262162:TUV262164 UER262162:UER262164 UON262162:UON262164 UYJ262162:UYJ262164 VIF262162:VIF262164 VSB262162:VSB262164 WBX262162:WBX262164 WLT262162:WLT262164 WVP262162:WVP262164 H327698:H327700 JD327698:JD327700 SZ327698:SZ327700 ACV327698:ACV327700 AMR327698:AMR327700 AWN327698:AWN327700 BGJ327698:BGJ327700 BQF327698:BQF327700 CAB327698:CAB327700 CJX327698:CJX327700 CTT327698:CTT327700 DDP327698:DDP327700 DNL327698:DNL327700 DXH327698:DXH327700 EHD327698:EHD327700 EQZ327698:EQZ327700 FAV327698:FAV327700 FKR327698:FKR327700 FUN327698:FUN327700 GEJ327698:GEJ327700 GOF327698:GOF327700 GYB327698:GYB327700 HHX327698:HHX327700 HRT327698:HRT327700 IBP327698:IBP327700 ILL327698:ILL327700 IVH327698:IVH327700 JFD327698:JFD327700 JOZ327698:JOZ327700 JYV327698:JYV327700 KIR327698:KIR327700 KSN327698:KSN327700 LCJ327698:LCJ327700 LMF327698:LMF327700 LWB327698:LWB327700 MFX327698:MFX327700 MPT327698:MPT327700 MZP327698:MZP327700 NJL327698:NJL327700 NTH327698:NTH327700 ODD327698:ODD327700 OMZ327698:OMZ327700 OWV327698:OWV327700 PGR327698:PGR327700 PQN327698:PQN327700 QAJ327698:QAJ327700 QKF327698:QKF327700 QUB327698:QUB327700 RDX327698:RDX327700 RNT327698:RNT327700 RXP327698:RXP327700 SHL327698:SHL327700 SRH327698:SRH327700 TBD327698:TBD327700 TKZ327698:TKZ327700 TUV327698:TUV327700 UER327698:UER327700 UON327698:UON327700 UYJ327698:UYJ327700 VIF327698:VIF327700 VSB327698:VSB327700 WBX327698:WBX327700 WLT327698:WLT327700 WVP327698:WVP327700 H393234:H393236 JD393234:JD393236 SZ393234:SZ393236 ACV393234:ACV393236 AMR393234:AMR393236 AWN393234:AWN393236 BGJ393234:BGJ393236 BQF393234:BQF393236 CAB393234:CAB393236 CJX393234:CJX393236 CTT393234:CTT393236 DDP393234:DDP393236 DNL393234:DNL393236 DXH393234:DXH393236 EHD393234:EHD393236 EQZ393234:EQZ393236 FAV393234:FAV393236 FKR393234:FKR393236 FUN393234:FUN393236 GEJ393234:GEJ393236 GOF393234:GOF393236 GYB393234:GYB393236 HHX393234:HHX393236 HRT393234:HRT393236 IBP393234:IBP393236 ILL393234:ILL393236 IVH393234:IVH393236 JFD393234:JFD393236 JOZ393234:JOZ393236 JYV393234:JYV393236 KIR393234:KIR393236 KSN393234:KSN393236 LCJ393234:LCJ393236 LMF393234:LMF393236 LWB393234:LWB393236 MFX393234:MFX393236 MPT393234:MPT393236 MZP393234:MZP393236 NJL393234:NJL393236 NTH393234:NTH393236 ODD393234:ODD393236 OMZ393234:OMZ393236 OWV393234:OWV393236 PGR393234:PGR393236 PQN393234:PQN393236 QAJ393234:QAJ393236 QKF393234:QKF393236 QUB393234:QUB393236 RDX393234:RDX393236 RNT393234:RNT393236 RXP393234:RXP393236 SHL393234:SHL393236 SRH393234:SRH393236 TBD393234:TBD393236 TKZ393234:TKZ393236 TUV393234:TUV393236 UER393234:UER393236 UON393234:UON393236 UYJ393234:UYJ393236 VIF393234:VIF393236 VSB393234:VSB393236 WBX393234:WBX393236 WLT393234:WLT393236 WVP393234:WVP393236 H458770:H458772 JD458770:JD458772 SZ458770:SZ458772 ACV458770:ACV458772 AMR458770:AMR458772 AWN458770:AWN458772 BGJ458770:BGJ458772 BQF458770:BQF458772 CAB458770:CAB458772 CJX458770:CJX458772 CTT458770:CTT458772 DDP458770:DDP458772 DNL458770:DNL458772 DXH458770:DXH458772 EHD458770:EHD458772 EQZ458770:EQZ458772 FAV458770:FAV458772 FKR458770:FKR458772 FUN458770:FUN458772 GEJ458770:GEJ458772 GOF458770:GOF458772 GYB458770:GYB458772 HHX458770:HHX458772 HRT458770:HRT458772 IBP458770:IBP458772 ILL458770:ILL458772 IVH458770:IVH458772 JFD458770:JFD458772 JOZ458770:JOZ458772 JYV458770:JYV458772 KIR458770:KIR458772 KSN458770:KSN458772 LCJ458770:LCJ458772 LMF458770:LMF458772 LWB458770:LWB458772 MFX458770:MFX458772 MPT458770:MPT458772 MZP458770:MZP458772 NJL458770:NJL458772 NTH458770:NTH458772 ODD458770:ODD458772 OMZ458770:OMZ458772 OWV458770:OWV458772 PGR458770:PGR458772 PQN458770:PQN458772 QAJ458770:QAJ458772 QKF458770:QKF458772 QUB458770:QUB458772 RDX458770:RDX458772 RNT458770:RNT458772 RXP458770:RXP458772 SHL458770:SHL458772 SRH458770:SRH458772 TBD458770:TBD458772 TKZ458770:TKZ458772 TUV458770:TUV458772 UER458770:UER458772 UON458770:UON458772 UYJ458770:UYJ458772 VIF458770:VIF458772 VSB458770:VSB458772 WBX458770:WBX458772 WLT458770:WLT458772 WVP458770:WVP458772 H524306:H524308 JD524306:JD524308 SZ524306:SZ524308 ACV524306:ACV524308 AMR524306:AMR524308 AWN524306:AWN524308 BGJ524306:BGJ524308 BQF524306:BQF524308 CAB524306:CAB524308 CJX524306:CJX524308 CTT524306:CTT524308 DDP524306:DDP524308 DNL524306:DNL524308 DXH524306:DXH524308 EHD524306:EHD524308 EQZ524306:EQZ524308 FAV524306:FAV524308 FKR524306:FKR524308 FUN524306:FUN524308 GEJ524306:GEJ524308 GOF524306:GOF524308 GYB524306:GYB524308 HHX524306:HHX524308 HRT524306:HRT524308 IBP524306:IBP524308 ILL524306:ILL524308 IVH524306:IVH524308 JFD524306:JFD524308 JOZ524306:JOZ524308 JYV524306:JYV524308 KIR524306:KIR524308 KSN524306:KSN524308 LCJ524306:LCJ524308 LMF524306:LMF524308 LWB524306:LWB524308 MFX524306:MFX524308 MPT524306:MPT524308 MZP524306:MZP524308 NJL524306:NJL524308 NTH524306:NTH524308 ODD524306:ODD524308 OMZ524306:OMZ524308 OWV524306:OWV524308 PGR524306:PGR524308 PQN524306:PQN524308 QAJ524306:QAJ524308 QKF524306:QKF524308 QUB524306:QUB524308 RDX524306:RDX524308 RNT524306:RNT524308 RXP524306:RXP524308 SHL524306:SHL524308 SRH524306:SRH524308 TBD524306:TBD524308 TKZ524306:TKZ524308 TUV524306:TUV524308 UER524306:UER524308 UON524306:UON524308 UYJ524306:UYJ524308 VIF524306:VIF524308 VSB524306:VSB524308 WBX524306:WBX524308 WLT524306:WLT524308 WVP524306:WVP524308 H589842:H589844 JD589842:JD589844 SZ589842:SZ589844 ACV589842:ACV589844 AMR589842:AMR589844 AWN589842:AWN589844 BGJ589842:BGJ589844 BQF589842:BQF589844 CAB589842:CAB589844 CJX589842:CJX589844 CTT589842:CTT589844 DDP589842:DDP589844 DNL589842:DNL589844 DXH589842:DXH589844 EHD589842:EHD589844 EQZ589842:EQZ589844 FAV589842:FAV589844 FKR589842:FKR589844 FUN589842:FUN589844 GEJ589842:GEJ589844 GOF589842:GOF589844 GYB589842:GYB589844 HHX589842:HHX589844 HRT589842:HRT589844 IBP589842:IBP589844 ILL589842:ILL589844 IVH589842:IVH589844 JFD589842:JFD589844 JOZ589842:JOZ589844 JYV589842:JYV589844 KIR589842:KIR589844 KSN589842:KSN589844 LCJ589842:LCJ589844 LMF589842:LMF589844 LWB589842:LWB589844 MFX589842:MFX589844 MPT589842:MPT589844 MZP589842:MZP589844 NJL589842:NJL589844 NTH589842:NTH589844 ODD589842:ODD589844 OMZ589842:OMZ589844 OWV589842:OWV589844 PGR589842:PGR589844 PQN589842:PQN589844 QAJ589842:QAJ589844 QKF589842:QKF589844 QUB589842:QUB589844 RDX589842:RDX589844 RNT589842:RNT589844 RXP589842:RXP589844 SHL589842:SHL589844 SRH589842:SRH589844 TBD589842:TBD589844 TKZ589842:TKZ589844 TUV589842:TUV589844 UER589842:UER589844 UON589842:UON589844 UYJ589842:UYJ589844 VIF589842:VIF589844 VSB589842:VSB589844 WBX589842:WBX589844 WLT589842:WLT589844 WVP589842:WVP589844 H655378:H655380 JD655378:JD655380 SZ655378:SZ655380 ACV655378:ACV655380 AMR655378:AMR655380 AWN655378:AWN655380 BGJ655378:BGJ655380 BQF655378:BQF655380 CAB655378:CAB655380 CJX655378:CJX655380 CTT655378:CTT655380 DDP655378:DDP655380 DNL655378:DNL655380 DXH655378:DXH655380 EHD655378:EHD655380 EQZ655378:EQZ655380 FAV655378:FAV655380 FKR655378:FKR655380 FUN655378:FUN655380 GEJ655378:GEJ655380 GOF655378:GOF655380 GYB655378:GYB655380 HHX655378:HHX655380 HRT655378:HRT655380 IBP655378:IBP655380 ILL655378:ILL655380 IVH655378:IVH655380 JFD655378:JFD655380 JOZ655378:JOZ655380 JYV655378:JYV655380 KIR655378:KIR655380 KSN655378:KSN655380 LCJ655378:LCJ655380 LMF655378:LMF655380 LWB655378:LWB655380 MFX655378:MFX655380 MPT655378:MPT655380 MZP655378:MZP655380 NJL655378:NJL655380 NTH655378:NTH655380 ODD655378:ODD655380 OMZ655378:OMZ655380 OWV655378:OWV655380 PGR655378:PGR655380 PQN655378:PQN655380 QAJ655378:QAJ655380 QKF655378:QKF655380 QUB655378:QUB655380 RDX655378:RDX655380 RNT655378:RNT655380 RXP655378:RXP655380 SHL655378:SHL655380 SRH655378:SRH655380 TBD655378:TBD655380 TKZ655378:TKZ655380 TUV655378:TUV655380 UER655378:UER655380 UON655378:UON655380 UYJ655378:UYJ655380 VIF655378:VIF655380 VSB655378:VSB655380 WBX655378:WBX655380 WLT655378:WLT655380 WVP655378:WVP655380 H720914:H720916 JD720914:JD720916 SZ720914:SZ720916 ACV720914:ACV720916 AMR720914:AMR720916 AWN720914:AWN720916 BGJ720914:BGJ720916 BQF720914:BQF720916 CAB720914:CAB720916 CJX720914:CJX720916 CTT720914:CTT720916 DDP720914:DDP720916 DNL720914:DNL720916 DXH720914:DXH720916 EHD720914:EHD720916 EQZ720914:EQZ720916 FAV720914:FAV720916 FKR720914:FKR720916 FUN720914:FUN720916 GEJ720914:GEJ720916 GOF720914:GOF720916 GYB720914:GYB720916 HHX720914:HHX720916 HRT720914:HRT720916 IBP720914:IBP720916 ILL720914:ILL720916 IVH720914:IVH720916 JFD720914:JFD720916 JOZ720914:JOZ720916 JYV720914:JYV720916 KIR720914:KIR720916 KSN720914:KSN720916 LCJ720914:LCJ720916 LMF720914:LMF720916 LWB720914:LWB720916 MFX720914:MFX720916 MPT720914:MPT720916 MZP720914:MZP720916 NJL720914:NJL720916 NTH720914:NTH720916 ODD720914:ODD720916 OMZ720914:OMZ720916 OWV720914:OWV720916 PGR720914:PGR720916 PQN720914:PQN720916 QAJ720914:QAJ720916 QKF720914:QKF720916 QUB720914:QUB720916 RDX720914:RDX720916 RNT720914:RNT720916 RXP720914:RXP720916 SHL720914:SHL720916 SRH720914:SRH720916 TBD720914:TBD720916 TKZ720914:TKZ720916 TUV720914:TUV720916 UER720914:UER720916 UON720914:UON720916 UYJ720914:UYJ720916 VIF720914:VIF720916 VSB720914:VSB720916 WBX720914:WBX720916 WLT720914:WLT720916 WVP720914:WVP720916 H786450:H786452 JD786450:JD786452 SZ786450:SZ786452 ACV786450:ACV786452 AMR786450:AMR786452 AWN786450:AWN786452 BGJ786450:BGJ786452 BQF786450:BQF786452 CAB786450:CAB786452 CJX786450:CJX786452 CTT786450:CTT786452 DDP786450:DDP786452 DNL786450:DNL786452 DXH786450:DXH786452 EHD786450:EHD786452 EQZ786450:EQZ786452 FAV786450:FAV786452 FKR786450:FKR786452 FUN786450:FUN786452 GEJ786450:GEJ786452 GOF786450:GOF786452 GYB786450:GYB786452 HHX786450:HHX786452 HRT786450:HRT786452 IBP786450:IBP786452 ILL786450:ILL786452 IVH786450:IVH786452 JFD786450:JFD786452 JOZ786450:JOZ786452 JYV786450:JYV786452 KIR786450:KIR786452 KSN786450:KSN786452 LCJ786450:LCJ786452 LMF786450:LMF786452 LWB786450:LWB786452 MFX786450:MFX786452 MPT786450:MPT786452 MZP786450:MZP786452 NJL786450:NJL786452 NTH786450:NTH786452 ODD786450:ODD786452 OMZ786450:OMZ786452 OWV786450:OWV786452 PGR786450:PGR786452 PQN786450:PQN786452 QAJ786450:QAJ786452 QKF786450:QKF786452 QUB786450:QUB786452 RDX786450:RDX786452 RNT786450:RNT786452 RXP786450:RXP786452 SHL786450:SHL786452 SRH786450:SRH786452 TBD786450:TBD786452 TKZ786450:TKZ786452 TUV786450:TUV786452 UER786450:UER786452 UON786450:UON786452 UYJ786450:UYJ786452 VIF786450:VIF786452 VSB786450:VSB786452 WBX786450:WBX786452 WLT786450:WLT786452 WVP786450:WVP786452 H851986:H851988 JD851986:JD851988 SZ851986:SZ851988 ACV851986:ACV851988 AMR851986:AMR851988 AWN851986:AWN851988 BGJ851986:BGJ851988 BQF851986:BQF851988 CAB851986:CAB851988 CJX851986:CJX851988 CTT851986:CTT851988 DDP851986:DDP851988 DNL851986:DNL851988 DXH851986:DXH851988 EHD851986:EHD851988 EQZ851986:EQZ851988 FAV851986:FAV851988 FKR851986:FKR851988 FUN851986:FUN851988 GEJ851986:GEJ851988 GOF851986:GOF851988 GYB851986:GYB851988 HHX851986:HHX851988 HRT851986:HRT851988 IBP851986:IBP851988 ILL851986:ILL851988 IVH851986:IVH851988 JFD851986:JFD851988 JOZ851986:JOZ851988 JYV851986:JYV851988 KIR851986:KIR851988 KSN851986:KSN851988 LCJ851986:LCJ851988 LMF851986:LMF851988 LWB851986:LWB851988 MFX851986:MFX851988 MPT851986:MPT851988 MZP851986:MZP851988 NJL851986:NJL851988 NTH851986:NTH851988 ODD851986:ODD851988 OMZ851986:OMZ851988 OWV851986:OWV851988 PGR851986:PGR851988 PQN851986:PQN851988 QAJ851986:QAJ851988 QKF851986:QKF851988 QUB851986:QUB851988 RDX851986:RDX851988 RNT851986:RNT851988 RXP851986:RXP851988 SHL851986:SHL851988 SRH851986:SRH851988 TBD851986:TBD851988 TKZ851986:TKZ851988 TUV851986:TUV851988 UER851986:UER851988 UON851986:UON851988 UYJ851986:UYJ851988 VIF851986:VIF851988 VSB851986:VSB851988 WBX851986:WBX851988 WLT851986:WLT851988 WVP851986:WVP851988 H917522:H917524 JD917522:JD917524 SZ917522:SZ917524 ACV917522:ACV917524 AMR917522:AMR917524 AWN917522:AWN917524 BGJ917522:BGJ917524 BQF917522:BQF917524 CAB917522:CAB917524 CJX917522:CJX917524 CTT917522:CTT917524 DDP917522:DDP917524 DNL917522:DNL917524 DXH917522:DXH917524 EHD917522:EHD917524 EQZ917522:EQZ917524 FAV917522:FAV917524 FKR917522:FKR917524 FUN917522:FUN917524 GEJ917522:GEJ917524 GOF917522:GOF917524 GYB917522:GYB917524 HHX917522:HHX917524 HRT917522:HRT917524 IBP917522:IBP917524 ILL917522:ILL917524 IVH917522:IVH917524 JFD917522:JFD917524 JOZ917522:JOZ917524 JYV917522:JYV917524 KIR917522:KIR917524 KSN917522:KSN917524 LCJ917522:LCJ917524 LMF917522:LMF917524 LWB917522:LWB917524 MFX917522:MFX917524 MPT917522:MPT917524 MZP917522:MZP917524 NJL917522:NJL917524 NTH917522:NTH917524 ODD917522:ODD917524 OMZ917522:OMZ917524 OWV917522:OWV917524 PGR917522:PGR917524 PQN917522:PQN917524 QAJ917522:QAJ917524 QKF917522:QKF917524 QUB917522:QUB917524 RDX917522:RDX917524 RNT917522:RNT917524 RXP917522:RXP917524 SHL917522:SHL917524 SRH917522:SRH917524 TBD917522:TBD917524 TKZ917522:TKZ917524 TUV917522:TUV917524 UER917522:UER917524 UON917522:UON917524 UYJ917522:UYJ917524 VIF917522:VIF917524 VSB917522:VSB917524 WBX917522:WBX917524 WLT917522:WLT917524 WVP917522:WVP917524 H983058:H983060 JD983058:JD983060 SZ983058:SZ983060 ACV983058:ACV983060 AMR983058:AMR983060 AWN983058:AWN983060 BGJ983058:BGJ983060 BQF983058:BQF983060 CAB983058:CAB983060 CJX983058:CJX983060 CTT983058:CTT983060 DDP983058:DDP983060 DNL983058:DNL983060 DXH983058:DXH983060 EHD983058:EHD983060 EQZ983058:EQZ983060 FAV983058:FAV983060 FKR983058:FKR983060 FUN983058:FUN983060 GEJ983058:GEJ983060 GOF983058:GOF983060 GYB983058:GYB983060 HHX983058:HHX983060 HRT983058:HRT983060 IBP983058:IBP983060 ILL983058:ILL983060 IVH983058:IVH983060 JFD983058:JFD983060 JOZ983058:JOZ983060 JYV983058:JYV983060 KIR983058:KIR983060 KSN983058:KSN983060 LCJ983058:LCJ983060 LMF983058:LMF983060 LWB983058:LWB983060 MFX983058:MFX983060 MPT983058:MPT983060 MZP983058:MZP983060 NJL983058:NJL983060 NTH983058:NTH983060 ODD983058:ODD983060 OMZ983058:OMZ983060 OWV983058:OWV983060 PGR983058:PGR983060 PQN983058:PQN983060 QAJ983058:QAJ983060 QKF983058:QKF983060 QUB983058:QUB983060 RDX983058:RDX983060 RNT983058:RNT983060 RXP983058:RXP983060 SHL983058:SHL983060 SRH983058:SRH983060 TBD983058:TBD983060 TKZ983058:TKZ983060 TUV983058:TUV983060 UER983058:UER983060 UON983058:UON983060 UYJ983058:UYJ983060 VIF983058:VIF983060 VSB983058:VSB983060 WBX983058:WBX983060 WLT983058:WLT983060 WVP983058:WVP983060 G44:Q50 JC17:JL17 SY17:TH17 ACU17:ADD17 AMQ17:AMZ17 AWM17:AWV17 BGI17:BGR17 BQE17:BQN17 CAA17:CAJ17 CJW17:CKF17 CTS17:CUB17 DDO17:DDX17 DNK17:DNT17 DXG17:DXP17 EHC17:EHL17 EQY17:ERH17 FAU17:FBD17 FKQ17:FKZ17 FUM17:FUV17 GEI17:GER17 GOE17:GON17 GYA17:GYJ17 HHW17:HIF17 HRS17:HSB17 IBO17:IBX17 ILK17:ILT17 IVG17:IVP17 JFC17:JFL17 JOY17:JPH17 JYU17:JZD17 KIQ17:KIZ17 KSM17:KSV17 LCI17:LCR17 LME17:LMN17 LWA17:LWJ17 MFW17:MGF17 MPS17:MQB17 MZO17:MZX17 NJK17:NJT17 NTG17:NTP17 ODC17:ODL17 OMY17:ONH17 OWU17:OXD17 PGQ17:PGZ17 PQM17:PQV17 QAI17:QAR17 QKE17:QKN17 QUA17:QUJ17 RDW17:REF17 RNS17:ROB17 RXO17:RXX17 SHK17:SHT17 SRG17:SRP17 TBC17:TBL17 TKY17:TLH17 TUU17:TVD17 UEQ17:UEZ17 UOM17:UOV17 UYI17:UYR17 VIE17:VIN17 VSA17:VSJ17 WBW17:WCF17 WLS17:WMB17 WVO17:WVX17 G65489:P65489 JC65489:JL65489 SY65489:TH65489 ACU65489:ADD65489 AMQ65489:AMZ65489 AWM65489:AWV65489 BGI65489:BGR65489 BQE65489:BQN65489 CAA65489:CAJ65489 CJW65489:CKF65489 CTS65489:CUB65489 DDO65489:DDX65489 DNK65489:DNT65489 DXG65489:DXP65489 EHC65489:EHL65489 EQY65489:ERH65489 FAU65489:FBD65489 FKQ65489:FKZ65489 FUM65489:FUV65489 GEI65489:GER65489 GOE65489:GON65489 GYA65489:GYJ65489 HHW65489:HIF65489 HRS65489:HSB65489 IBO65489:IBX65489 ILK65489:ILT65489 IVG65489:IVP65489 JFC65489:JFL65489 JOY65489:JPH65489 JYU65489:JZD65489 KIQ65489:KIZ65489 KSM65489:KSV65489 LCI65489:LCR65489 LME65489:LMN65489 LWA65489:LWJ65489 MFW65489:MGF65489 MPS65489:MQB65489 MZO65489:MZX65489 NJK65489:NJT65489 NTG65489:NTP65489 ODC65489:ODL65489 OMY65489:ONH65489 OWU65489:OXD65489 PGQ65489:PGZ65489 PQM65489:PQV65489 QAI65489:QAR65489 QKE65489:QKN65489 QUA65489:QUJ65489 RDW65489:REF65489 RNS65489:ROB65489 RXO65489:RXX65489 SHK65489:SHT65489 SRG65489:SRP65489 TBC65489:TBL65489 TKY65489:TLH65489 TUU65489:TVD65489 UEQ65489:UEZ65489 UOM65489:UOV65489 UYI65489:UYR65489 VIE65489:VIN65489 VSA65489:VSJ65489 WBW65489:WCF65489 WLS65489:WMB65489 WVO65489:WVX65489 G131025:P131025 JC131025:JL131025 SY131025:TH131025 ACU131025:ADD131025 AMQ131025:AMZ131025 AWM131025:AWV131025 BGI131025:BGR131025 BQE131025:BQN131025 CAA131025:CAJ131025 CJW131025:CKF131025 CTS131025:CUB131025 DDO131025:DDX131025 DNK131025:DNT131025 DXG131025:DXP131025 EHC131025:EHL131025 EQY131025:ERH131025 FAU131025:FBD131025 FKQ131025:FKZ131025 FUM131025:FUV131025 GEI131025:GER131025 GOE131025:GON131025 GYA131025:GYJ131025 HHW131025:HIF131025 HRS131025:HSB131025 IBO131025:IBX131025 ILK131025:ILT131025 IVG131025:IVP131025 JFC131025:JFL131025 JOY131025:JPH131025 JYU131025:JZD131025 KIQ131025:KIZ131025 KSM131025:KSV131025 LCI131025:LCR131025 LME131025:LMN131025 LWA131025:LWJ131025 MFW131025:MGF131025 MPS131025:MQB131025 MZO131025:MZX131025 NJK131025:NJT131025 NTG131025:NTP131025 ODC131025:ODL131025 OMY131025:ONH131025 OWU131025:OXD131025 PGQ131025:PGZ131025 PQM131025:PQV131025 QAI131025:QAR131025 QKE131025:QKN131025 QUA131025:QUJ131025 RDW131025:REF131025 RNS131025:ROB131025 RXO131025:RXX131025 SHK131025:SHT131025 SRG131025:SRP131025 TBC131025:TBL131025 TKY131025:TLH131025 TUU131025:TVD131025 UEQ131025:UEZ131025 UOM131025:UOV131025 UYI131025:UYR131025 VIE131025:VIN131025 VSA131025:VSJ131025 WBW131025:WCF131025 WLS131025:WMB131025 WVO131025:WVX131025 G196561:P196561 JC196561:JL196561 SY196561:TH196561 ACU196561:ADD196561 AMQ196561:AMZ196561 AWM196561:AWV196561 BGI196561:BGR196561 BQE196561:BQN196561 CAA196561:CAJ196561 CJW196561:CKF196561 CTS196561:CUB196561 DDO196561:DDX196561 DNK196561:DNT196561 DXG196561:DXP196561 EHC196561:EHL196561 EQY196561:ERH196561 FAU196561:FBD196561 FKQ196561:FKZ196561 FUM196561:FUV196561 GEI196561:GER196561 GOE196561:GON196561 GYA196561:GYJ196561 HHW196561:HIF196561 HRS196561:HSB196561 IBO196561:IBX196561 ILK196561:ILT196561 IVG196561:IVP196561 JFC196561:JFL196561 JOY196561:JPH196561 JYU196561:JZD196561 KIQ196561:KIZ196561 KSM196561:KSV196561 LCI196561:LCR196561 LME196561:LMN196561 LWA196561:LWJ196561 MFW196561:MGF196561 MPS196561:MQB196561 MZO196561:MZX196561 NJK196561:NJT196561 NTG196561:NTP196561 ODC196561:ODL196561 OMY196561:ONH196561 OWU196561:OXD196561 PGQ196561:PGZ196561 PQM196561:PQV196561 QAI196561:QAR196561 QKE196561:QKN196561 QUA196561:QUJ196561 RDW196561:REF196561 RNS196561:ROB196561 RXO196561:RXX196561 SHK196561:SHT196561 SRG196561:SRP196561 TBC196561:TBL196561 TKY196561:TLH196561 TUU196561:TVD196561 UEQ196561:UEZ196561 UOM196561:UOV196561 UYI196561:UYR196561 VIE196561:VIN196561 VSA196561:VSJ196561 WBW196561:WCF196561 WLS196561:WMB196561 WVO196561:WVX196561 G262097:P262097 JC262097:JL262097 SY262097:TH262097 ACU262097:ADD262097 AMQ262097:AMZ262097 AWM262097:AWV262097 BGI262097:BGR262097 BQE262097:BQN262097 CAA262097:CAJ262097 CJW262097:CKF262097 CTS262097:CUB262097 DDO262097:DDX262097 DNK262097:DNT262097 DXG262097:DXP262097 EHC262097:EHL262097 EQY262097:ERH262097 FAU262097:FBD262097 FKQ262097:FKZ262097 FUM262097:FUV262097 GEI262097:GER262097 GOE262097:GON262097 GYA262097:GYJ262097 HHW262097:HIF262097 HRS262097:HSB262097 IBO262097:IBX262097 ILK262097:ILT262097 IVG262097:IVP262097 JFC262097:JFL262097 JOY262097:JPH262097 JYU262097:JZD262097 KIQ262097:KIZ262097 KSM262097:KSV262097 LCI262097:LCR262097 LME262097:LMN262097 LWA262097:LWJ262097 MFW262097:MGF262097 MPS262097:MQB262097 MZO262097:MZX262097 NJK262097:NJT262097 NTG262097:NTP262097 ODC262097:ODL262097 OMY262097:ONH262097 OWU262097:OXD262097 PGQ262097:PGZ262097 PQM262097:PQV262097 QAI262097:QAR262097 QKE262097:QKN262097 QUA262097:QUJ262097 RDW262097:REF262097 RNS262097:ROB262097 RXO262097:RXX262097 SHK262097:SHT262097 SRG262097:SRP262097 TBC262097:TBL262097 TKY262097:TLH262097 TUU262097:TVD262097 UEQ262097:UEZ262097 UOM262097:UOV262097 UYI262097:UYR262097 VIE262097:VIN262097 VSA262097:VSJ262097 WBW262097:WCF262097 WLS262097:WMB262097 WVO262097:WVX262097 G327633:P327633 JC327633:JL327633 SY327633:TH327633 ACU327633:ADD327633 AMQ327633:AMZ327633 AWM327633:AWV327633 BGI327633:BGR327633 BQE327633:BQN327633 CAA327633:CAJ327633 CJW327633:CKF327633 CTS327633:CUB327633 DDO327633:DDX327633 DNK327633:DNT327633 DXG327633:DXP327633 EHC327633:EHL327633 EQY327633:ERH327633 FAU327633:FBD327633 FKQ327633:FKZ327633 FUM327633:FUV327633 GEI327633:GER327633 GOE327633:GON327633 GYA327633:GYJ327633 HHW327633:HIF327633 HRS327633:HSB327633 IBO327633:IBX327633 ILK327633:ILT327633 IVG327633:IVP327633 JFC327633:JFL327633 JOY327633:JPH327633 JYU327633:JZD327633 KIQ327633:KIZ327633 KSM327633:KSV327633 LCI327633:LCR327633 LME327633:LMN327633 LWA327633:LWJ327633 MFW327633:MGF327633 MPS327633:MQB327633 MZO327633:MZX327633 NJK327633:NJT327633 NTG327633:NTP327633 ODC327633:ODL327633 OMY327633:ONH327633 OWU327633:OXD327633 PGQ327633:PGZ327633 PQM327633:PQV327633 QAI327633:QAR327633 QKE327633:QKN327633 QUA327633:QUJ327633 RDW327633:REF327633 RNS327633:ROB327633 RXO327633:RXX327633 SHK327633:SHT327633 SRG327633:SRP327633 TBC327633:TBL327633 TKY327633:TLH327633 TUU327633:TVD327633 UEQ327633:UEZ327633 UOM327633:UOV327633 UYI327633:UYR327633 VIE327633:VIN327633 VSA327633:VSJ327633 WBW327633:WCF327633 WLS327633:WMB327633 WVO327633:WVX327633 G393169:P393169 JC393169:JL393169 SY393169:TH393169 ACU393169:ADD393169 AMQ393169:AMZ393169 AWM393169:AWV393169 BGI393169:BGR393169 BQE393169:BQN393169 CAA393169:CAJ393169 CJW393169:CKF393169 CTS393169:CUB393169 DDO393169:DDX393169 DNK393169:DNT393169 DXG393169:DXP393169 EHC393169:EHL393169 EQY393169:ERH393169 FAU393169:FBD393169 FKQ393169:FKZ393169 FUM393169:FUV393169 GEI393169:GER393169 GOE393169:GON393169 GYA393169:GYJ393169 HHW393169:HIF393169 HRS393169:HSB393169 IBO393169:IBX393169 ILK393169:ILT393169 IVG393169:IVP393169 JFC393169:JFL393169 JOY393169:JPH393169 JYU393169:JZD393169 KIQ393169:KIZ393169 KSM393169:KSV393169 LCI393169:LCR393169 LME393169:LMN393169 LWA393169:LWJ393169 MFW393169:MGF393169 MPS393169:MQB393169 MZO393169:MZX393169 NJK393169:NJT393169 NTG393169:NTP393169 ODC393169:ODL393169 OMY393169:ONH393169 OWU393169:OXD393169 PGQ393169:PGZ393169 PQM393169:PQV393169 QAI393169:QAR393169 QKE393169:QKN393169 QUA393169:QUJ393169 RDW393169:REF393169 RNS393169:ROB393169 RXO393169:RXX393169 SHK393169:SHT393169 SRG393169:SRP393169 TBC393169:TBL393169 TKY393169:TLH393169 TUU393169:TVD393169 UEQ393169:UEZ393169 UOM393169:UOV393169 UYI393169:UYR393169 VIE393169:VIN393169 VSA393169:VSJ393169 WBW393169:WCF393169 WLS393169:WMB393169 WVO393169:WVX393169 G458705:P458705 JC458705:JL458705 SY458705:TH458705 ACU458705:ADD458705 AMQ458705:AMZ458705 AWM458705:AWV458705 BGI458705:BGR458705 BQE458705:BQN458705 CAA458705:CAJ458705 CJW458705:CKF458705 CTS458705:CUB458705 DDO458705:DDX458705 DNK458705:DNT458705 DXG458705:DXP458705 EHC458705:EHL458705 EQY458705:ERH458705 FAU458705:FBD458705 FKQ458705:FKZ458705 FUM458705:FUV458705 GEI458705:GER458705 GOE458705:GON458705 GYA458705:GYJ458705 HHW458705:HIF458705 HRS458705:HSB458705 IBO458705:IBX458705 ILK458705:ILT458705 IVG458705:IVP458705 JFC458705:JFL458705 JOY458705:JPH458705 JYU458705:JZD458705 KIQ458705:KIZ458705 KSM458705:KSV458705 LCI458705:LCR458705 LME458705:LMN458705 LWA458705:LWJ458705 MFW458705:MGF458705 MPS458705:MQB458705 MZO458705:MZX458705 NJK458705:NJT458705 NTG458705:NTP458705 ODC458705:ODL458705 OMY458705:ONH458705 OWU458705:OXD458705 PGQ458705:PGZ458705 PQM458705:PQV458705 QAI458705:QAR458705 QKE458705:QKN458705 QUA458705:QUJ458705 RDW458705:REF458705 RNS458705:ROB458705 RXO458705:RXX458705 SHK458705:SHT458705 SRG458705:SRP458705 TBC458705:TBL458705 TKY458705:TLH458705 TUU458705:TVD458705 UEQ458705:UEZ458705 UOM458705:UOV458705 UYI458705:UYR458705 VIE458705:VIN458705 VSA458705:VSJ458705 WBW458705:WCF458705 WLS458705:WMB458705 WVO458705:WVX458705 G524241:P524241 JC524241:JL524241 SY524241:TH524241 ACU524241:ADD524241 AMQ524241:AMZ524241 AWM524241:AWV524241 BGI524241:BGR524241 BQE524241:BQN524241 CAA524241:CAJ524241 CJW524241:CKF524241 CTS524241:CUB524241 DDO524241:DDX524241 DNK524241:DNT524241 DXG524241:DXP524241 EHC524241:EHL524241 EQY524241:ERH524241 FAU524241:FBD524241 FKQ524241:FKZ524241 FUM524241:FUV524241 GEI524241:GER524241 GOE524241:GON524241 GYA524241:GYJ524241 HHW524241:HIF524241 HRS524241:HSB524241 IBO524241:IBX524241 ILK524241:ILT524241 IVG524241:IVP524241 JFC524241:JFL524241 JOY524241:JPH524241 JYU524241:JZD524241 KIQ524241:KIZ524241 KSM524241:KSV524241 LCI524241:LCR524241 LME524241:LMN524241 LWA524241:LWJ524241 MFW524241:MGF524241 MPS524241:MQB524241 MZO524241:MZX524241 NJK524241:NJT524241 NTG524241:NTP524241 ODC524241:ODL524241 OMY524241:ONH524241 OWU524241:OXD524241 PGQ524241:PGZ524241 PQM524241:PQV524241 QAI524241:QAR524241 QKE524241:QKN524241 QUA524241:QUJ524241 RDW524241:REF524241 RNS524241:ROB524241 RXO524241:RXX524241 SHK524241:SHT524241 SRG524241:SRP524241 TBC524241:TBL524241 TKY524241:TLH524241 TUU524241:TVD524241 UEQ524241:UEZ524241 UOM524241:UOV524241 UYI524241:UYR524241 VIE524241:VIN524241 VSA524241:VSJ524241 WBW524241:WCF524241 WLS524241:WMB524241 WVO524241:WVX524241 G589777:P589777 JC589777:JL589777 SY589777:TH589777 ACU589777:ADD589777 AMQ589777:AMZ589777 AWM589777:AWV589777 BGI589777:BGR589777 BQE589777:BQN589777 CAA589777:CAJ589777 CJW589777:CKF589777 CTS589777:CUB589777 DDO589777:DDX589777 DNK589777:DNT589777 DXG589777:DXP589777 EHC589777:EHL589777 EQY589777:ERH589777 FAU589777:FBD589777 FKQ589777:FKZ589777 FUM589777:FUV589777 GEI589777:GER589777 GOE589777:GON589777 GYA589777:GYJ589777 HHW589777:HIF589777 HRS589777:HSB589777 IBO589777:IBX589777 ILK589777:ILT589777 IVG589777:IVP589777 JFC589777:JFL589777 JOY589777:JPH589777 JYU589777:JZD589777 KIQ589777:KIZ589777 KSM589777:KSV589777 LCI589777:LCR589777 LME589777:LMN589777 LWA589777:LWJ589777 MFW589777:MGF589777 MPS589777:MQB589777 MZO589777:MZX589777 NJK589777:NJT589777 NTG589777:NTP589777 ODC589777:ODL589777 OMY589777:ONH589777 OWU589777:OXD589777 PGQ589777:PGZ589777 PQM589777:PQV589777 QAI589777:QAR589777 QKE589777:QKN589777 QUA589777:QUJ589777 RDW589777:REF589777 RNS589777:ROB589777 RXO589777:RXX589777 SHK589777:SHT589777 SRG589777:SRP589777 TBC589777:TBL589777 TKY589777:TLH589777 TUU589777:TVD589777 UEQ589777:UEZ589777 UOM589777:UOV589777 UYI589777:UYR589777 VIE589777:VIN589777 VSA589777:VSJ589777 WBW589777:WCF589777 WLS589777:WMB589777 WVO589777:WVX589777 G655313:P655313 JC655313:JL655313 SY655313:TH655313 ACU655313:ADD655313 AMQ655313:AMZ655313 AWM655313:AWV655313 BGI655313:BGR655313 BQE655313:BQN655313 CAA655313:CAJ655313 CJW655313:CKF655313 CTS655313:CUB655313 DDO655313:DDX655313 DNK655313:DNT655313 DXG655313:DXP655313 EHC655313:EHL655313 EQY655313:ERH655313 FAU655313:FBD655313 FKQ655313:FKZ655313 FUM655313:FUV655313 GEI655313:GER655313 GOE655313:GON655313 GYA655313:GYJ655313 HHW655313:HIF655313 HRS655313:HSB655313 IBO655313:IBX655313 ILK655313:ILT655313 IVG655313:IVP655313 JFC655313:JFL655313 JOY655313:JPH655313 JYU655313:JZD655313 KIQ655313:KIZ655313 KSM655313:KSV655313 LCI655313:LCR655313 LME655313:LMN655313 LWA655313:LWJ655313 MFW655313:MGF655313 MPS655313:MQB655313 MZO655313:MZX655313 NJK655313:NJT655313 NTG655313:NTP655313 ODC655313:ODL655313 OMY655313:ONH655313 OWU655313:OXD655313 PGQ655313:PGZ655313 PQM655313:PQV655313 QAI655313:QAR655313 QKE655313:QKN655313 QUA655313:QUJ655313 RDW655313:REF655313 RNS655313:ROB655313 RXO655313:RXX655313 SHK655313:SHT655313 SRG655313:SRP655313 TBC655313:TBL655313 TKY655313:TLH655313 TUU655313:TVD655313 UEQ655313:UEZ655313 UOM655313:UOV655313 UYI655313:UYR655313 VIE655313:VIN655313 VSA655313:VSJ655313 WBW655313:WCF655313 WLS655313:WMB655313 WVO655313:WVX655313 G720849:P720849 JC720849:JL720849 SY720849:TH720849 ACU720849:ADD720849 AMQ720849:AMZ720849 AWM720849:AWV720849 BGI720849:BGR720849 BQE720849:BQN720849 CAA720849:CAJ720849 CJW720849:CKF720849 CTS720849:CUB720849 DDO720849:DDX720849 DNK720849:DNT720849 DXG720849:DXP720849 EHC720849:EHL720849 EQY720849:ERH720849 FAU720849:FBD720849 FKQ720849:FKZ720849 FUM720849:FUV720849 GEI720849:GER720849 GOE720849:GON720849 GYA720849:GYJ720849 HHW720849:HIF720849 HRS720849:HSB720849 IBO720849:IBX720849 ILK720849:ILT720849 IVG720849:IVP720849 JFC720849:JFL720849 JOY720849:JPH720849 JYU720849:JZD720849 KIQ720849:KIZ720849 KSM720849:KSV720849 LCI720849:LCR720849 LME720849:LMN720849 LWA720849:LWJ720849 MFW720849:MGF720849 MPS720849:MQB720849 MZO720849:MZX720849 NJK720849:NJT720849 NTG720849:NTP720849 ODC720849:ODL720849 OMY720849:ONH720849 OWU720849:OXD720849 PGQ720849:PGZ720849 PQM720849:PQV720849 QAI720849:QAR720849 QKE720849:QKN720849 QUA720849:QUJ720849 RDW720849:REF720849 RNS720849:ROB720849 RXO720849:RXX720849 SHK720849:SHT720849 SRG720849:SRP720849 TBC720849:TBL720849 TKY720849:TLH720849 TUU720849:TVD720849 UEQ720849:UEZ720849 UOM720849:UOV720849 UYI720849:UYR720849 VIE720849:VIN720849 VSA720849:VSJ720849 WBW720849:WCF720849 WLS720849:WMB720849 WVO720849:WVX720849 G786385:P786385 JC786385:JL786385 SY786385:TH786385 ACU786385:ADD786385 AMQ786385:AMZ786385 AWM786385:AWV786385 BGI786385:BGR786385 BQE786385:BQN786385 CAA786385:CAJ786385 CJW786385:CKF786385 CTS786385:CUB786385 DDO786385:DDX786385 DNK786385:DNT786385 DXG786385:DXP786385 EHC786385:EHL786385 EQY786385:ERH786385 FAU786385:FBD786385 FKQ786385:FKZ786385 FUM786385:FUV786385 GEI786385:GER786385 GOE786385:GON786385 GYA786385:GYJ786385 HHW786385:HIF786385 HRS786385:HSB786385 IBO786385:IBX786385 ILK786385:ILT786385 IVG786385:IVP786385 JFC786385:JFL786385 JOY786385:JPH786385 JYU786385:JZD786385 KIQ786385:KIZ786385 KSM786385:KSV786385 LCI786385:LCR786385 LME786385:LMN786385 LWA786385:LWJ786385 MFW786385:MGF786385 MPS786385:MQB786385 MZO786385:MZX786385 NJK786385:NJT786385 NTG786385:NTP786385 ODC786385:ODL786385 OMY786385:ONH786385 OWU786385:OXD786385 PGQ786385:PGZ786385 PQM786385:PQV786385 QAI786385:QAR786385 QKE786385:QKN786385 QUA786385:QUJ786385 RDW786385:REF786385 RNS786385:ROB786385 RXO786385:RXX786385 SHK786385:SHT786385 SRG786385:SRP786385 TBC786385:TBL786385 TKY786385:TLH786385 TUU786385:TVD786385 UEQ786385:UEZ786385 UOM786385:UOV786385 UYI786385:UYR786385 VIE786385:VIN786385 VSA786385:VSJ786385 WBW786385:WCF786385 WLS786385:WMB786385 WVO786385:WVX786385 G851921:P851921 JC851921:JL851921 SY851921:TH851921 ACU851921:ADD851921 AMQ851921:AMZ851921 AWM851921:AWV851921 BGI851921:BGR851921 BQE851921:BQN851921 CAA851921:CAJ851921 CJW851921:CKF851921 CTS851921:CUB851921 DDO851921:DDX851921 DNK851921:DNT851921 DXG851921:DXP851921 EHC851921:EHL851921 EQY851921:ERH851921 FAU851921:FBD851921 FKQ851921:FKZ851921 FUM851921:FUV851921 GEI851921:GER851921 GOE851921:GON851921 GYA851921:GYJ851921 HHW851921:HIF851921 HRS851921:HSB851921 IBO851921:IBX851921 ILK851921:ILT851921 IVG851921:IVP851921 JFC851921:JFL851921 JOY851921:JPH851921 JYU851921:JZD851921 KIQ851921:KIZ851921 KSM851921:KSV851921 LCI851921:LCR851921 LME851921:LMN851921 LWA851921:LWJ851921 MFW851921:MGF851921 MPS851921:MQB851921 MZO851921:MZX851921 NJK851921:NJT851921 NTG851921:NTP851921 ODC851921:ODL851921 OMY851921:ONH851921 OWU851921:OXD851921 PGQ851921:PGZ851921 PQM851921:PQV851921 QAI851921:QAR851921 QKE851921:QKN851921 QUA851921:QUJ851921 RDW851921:REF851921 RNS851921:ROB851921 RXO851921:RXX851921 SHK851921:SHT851921 SRG851921:SRP851921 TBC851921:TBL851921 TKY851921:TLH851921 TUU851921:TVD851921 UEQ851921:UEZ851921 UOM851921:UOV851921 UYI851921:UYR851921 VIE851921:VIN851921 VSA851921:VSJ851921 WBW851921:WCF851921 WLS851921:WMB851921 WVO851921:WVX851921 G917457:P917457 JC917457:JL917457 SY917457:TH917457 ACU917457:ADD917457 AMQ917457:AMZ917457 AWM917457:AWV917457 BGI917457:BGR917457 BQE917457:BQN917457 CAA917457:CAJ917457 CJW917457:CKF917457 CTS917457:CUB917457 DDO917457:DDX917457 DNK917457:DNT917457 DXG917457:DXP917457 EHC917457:EHL917457 EQY917457:ERH917457 FAU917457:FBD917457 FKQ917457:FKZ917457 FUM917457:FUV917457 GEI917457:GER917457 GOE917457:GON917457 GYA917457:GYJ917457 HHW917457:HIF917457 HRS917457:HSB917457 IBO917457:IBX917457 ILK917457:ILT917457 IVG917457:IVP917457 JFC917457:JFL917457 JOY917457:JPH917457 JYU917457:JZD917457 KIQ917457:KIZ917457 KSM917457:KSV917457 LCI917457:LCR917457 LME917457:LMN917457 LWA917457:LWJ917457 MFW917457:MGF917457 MPS917457:MQB917457 MZO917457:MZX917457 NJK917457:NJT917457 NTG917457:NTP917457 ODC917457:ODL917457 OMY917457:ONH917457 OWU917457:OXD917457 PGQ917457:PGZ917457 PQM917457:PQV917457 QAI917457:QAR917457 QKE917457:QKN917457 QUA917457:QUJ917457 RDW917457:REF917457 RNS917457:ROB917457 RXO917457:RXX917457 SHK917457:SHT917457 SRG917457:SRP917457 TBC917457:TBL917457 TKY917457:TLH917457 TUU917457:TVD917457 UEQ917457:UEZ917457 UOM917457:UOV917457 UYI917457:UYR917457 VIE917457:VIN917457 VSA917457:VSJ917457 WBW917457:WCF917457 WLS917457:WMB917457 WVO917457:WVX917457 G982993:P982993 JC982993:JL982993 SY982993:TH982993 ACU982993:ADD982993 AMQ982993:AMZ982993 AWM982993:AWV982993 BGI982993:BGR982993 BQE982993:BQN982993 CAA982993:CAJ982993 CJW982993:CKF982993 CTS982993:CUB982993 DDO982993:DDX982993 DNK982993:DNT982993 DXG982993:DXP982993 EHC982993:EHL982993 EQY982993:ERH982993 FAU982993:FBD982993 FKQ982993:FKZ982993 FUM982993:FUV982993 GEI982993:GER982993 GOE982993:GON982993 GYA982993:GYJ982993 HHW982993:HIF982993 HRS982993:HSB982993 IBO982993:IBX982993 ILK982993:ILT982993 IVG982993:IVP982993 JFC982993:JFL982993 JOY982993:JPH982993 JYU982993:JZD982993 KIQ982993:KIZ982993 KSM982993:KSV982993 LCI982993:LCR982993 LME982993:LMN982993 LWA982993:LWJ982993 MFW982993:MGF982993 MPS982993:MQB982993 MZO982993:MZX982993 NJK982993:NJT982993 NTG982993:NTP982993 ODC982993:ODL982993 OMY982993:ONH982993 OWU982993:OXD982993 PGQ982993:PGZ982993 PQM982993:PQV982993 QAI982993:QAR982993 QKE982993:QKN982993 QUA982993:QUJ982993 RDW982993:REF982993 RNS982993:ROB982993 RXO982993:RXX982993 SHK982993:SHT982993 SRG982993:SRP982993 TBC982993:TBL982993 TKY982993:TLH982993 TUU982993:TVD982993 UEQ982993:UEZ982993 UOM982993:UOV982993 UYI982993:UYR982993 VIE982993:VIN982993 VSA982993:VSJ982993 WBW982993:WCF982993 WLS982993:WMB982993 WVO982993:WVX982993 JD49:JM50 SZ49:TI50 ACV49:ADE50 AMR49:ANA50 AWN49:AWW50 BGJ49:BGS50 BQF49:BQO50 CAB49:CAK50 CJX49:CKG50 CTT49:CUC50 DDP49:DDY50 DNL49:DNU50 DXH49:DXQ50 EHD49:EHM50 EQZ49:ERI50 FAV49:FBE50 FKR49:FLA50 FUN49:FUW50 GEJ49:GES50 GOF49:GOO50 GYB49:GYK50 HHX49:HIG50 HRT49:HSC50 IBP49:IBY50 ILL49:ILU50 IVH49:IVQ50 JFD49:JFM50 JOZ49:JPI50 JYV49:JZE50 KIR49:KJA50 KSN49:KSW50 LCJ49:LCS50 LMF49:LMO50 LWB49:LWK50 MFX49:MGG50 MPT49:MQC50 MZP49:MZY50 NJL49:NJU50 NTH49:NTQ50 ODD49:ODM50 OMZ49:ONI50 OWV49:OXE50 PGR49:PHA50 PQN49:PQW50 QAJ49:QAS50 QKF49:QKO50 QUB49:QUK50 RDX49:REG50 RNT49:ROC50 RXP49:RXY50 SHL49:SHU50 SRH49:SRQ50 TBD49:TBM50 TKZ49:TLI50 TUV49:TVE50 UER49:UFA50 UON49:UOW50 UYJ49:UYS50 VIF49:VIO50 VSB49:VSK50 WBX49:WCG50 WLT49:WMC50 WVP49:WVY50 H65521:Q65522 JD65521:JM65522 SZ65521:TI65522 ACV65521:ADE65522 AMR65521:ANA65522 AWN65521:AWW65522 BGJ65521:BGS65522 BQF65521:BQO65522 CAB65521:CAK65522 CJX65521:CKG65522 CTT65521:CUC65522 DDP65521:DDY65522 DNL65521:DNU65522 DXH65521:DXQ65522 EHD65521:EHM65522 EQZ65521:ERI65522 FAV65521:FBE65522 FKR65521:FLA65522 FUN65521:FUW65522 GEJ65521:GES65522 GOF65521:GOO65522 GYB65521:GYK65522 HHX65521:HIG65522 HRT65521:HSC65522 IBP65521:IBY65522 ILL65521:ILU65522 IVH65521:IVQ65522 JFD65521:JFM65522 JOZ65521:JPI65522 JYV65521:JZE65522 KIR65521:KJA65522 KSN65521:KSW65522 LCJ65521:LCS65522 LMF65521:LMO65522 LWB65521:LWK65522 MFX65521:MGG65522 MPT65521:MQC65522 MZP65521:MZY65522 NJL65521:NJU65522 NTH65521:NTQ65522 ODD65521:ODM65522 OMZ65521:ONI65522 OWV65521:OXE65522 PGR65521:PHA65522 PQN65521:PQW65522 QAJ65521:QAS65522 QKF65521:QKO65522 QUB65521:QUK65522 RDX65521:REG65522 RNT65521:ROC65522 RXP65521:RXY65522 SHL65521:SHU65522 SRH65521:SRQ65522 TBD65521:TBM65522 TKZ65521:TLI65522 TUV65521:TVE65522 UER65521:UFA65522 UON65521:UOW65522 UYJ65521:UYS65522 VIF65521:VIO65522 VSB65521:VSK65522 WBX65521:WCG65522 WLT65521:WMC65522 WVP65521:WVY65522 H131057:Q131058 JD131057:JM131058 SZ131057:TI131058 ACV131057:ADE131058 AMR131057:ANA131058 AWN131057:AWW131058 BGJ131057:BGS131058 BQF131057:BQO131058 CAB131057:CAK131058 CJX131057:CKG131058 CTT131057:CUC131058 DDP131057:DDY131058 DNL131057:DNU131058 DXH131057:DXQ131058 EHD131057:EHM131058 EQZ131057:ERI131058 FAV131057:FBE131058 FKR131057:FLA131058 FUN131057:FUW131058 GEJ131057:GES131058 GOF131057:GOO131058 GYB131057:GYK131058 HHX131057:HIG131058 HRT131057:HSC131058 IBP131057:IBY131058 ILL131057:ILU131058 IVH131057:IVQ131058 JFD131057:JFM131058 JOZ131057:JPI131058 JYV131057:JZE131058 KIR131057:KJA131058 KSN131057:KSW131058 LCJ131057:LCS131058 LMF131057:LMO131058 LWB131057:LWK131058 MFX131057:MGG131058 MPT131057:MQC131058 MZP131057:MZY131058 NJL131057:NJU131058 NTH131057:NTQ131058 ODD131057:ODM131058 OMZ131057:ONI131058 OWV131057:OXE131058 PGR131057:PHA131058 PQN131057:PQW131058 QAJ131057:QAS131058 QKF131057:QKO131058 QUB131057:QUK131058 RDX131057:REG131058 RNT131057:ROC131058 RXP131057:RXY131058 SHL131057:SHU131058 SRH131057:SRQ131058 TBD131057:TBM131058 TKZ131057:TLI131058 TUV131057:TVE131058 UER131057:UFA131058 UON131057:UOW131058 UYJ131057:UYS131058 VIF131057:VIO131058 VSB131057:VSK131058 WBX131057:WCG131058 WLT131057:WMC131058 WVP131057:WVY131058 H196593:Q196594 JD196593:JM196594 SZ196593:TI196594 ACV196593:ADE196594 AMR196593:ANA196594 AWN196593:AWW196594 BGJ196593:BGS196594 BQF196593:BQO196594 CAB196593:CAK196594 CJX196593:CKG196594 CTT196593:CUC196594 DDP196593:DDY196594 DNL196593:DNU196594 DXH196593:DXQ196594 EHD196593:EHM196594 EQZ196593:ERI196594 FAV196593:FBE196594 FKR196593:FLA196594 FUN196593:FUW196594 GEJ196593:GES196594 GOF196593:GOO196594 GYB196593:GYK196594 HHX196593:HIG196594 HRT196593:HSC196594 IBP196593:IBY196594 ILL196593:ILU196594 IVH196593:IVQ196594 JFD196593:JFM196594 JOZ196593:JPI196594 JYV196593:JZE196594 KIR196593:KJA196594 KSN196593:KSW196594 LCJ196593:LCS196594 LMF196593:LMO196594 LWB196593:LWK196594 MFX196593:MGG196594 MPT196593:MQC196594 MZP196593:MZY196594 NJL196593:NJU196594 NTH196593:NTQ196594 ODD196593:ODM196594 OMZ196593:ONI196594 OWV196593:OXE196594 PGR196593:PHA196594 PQN196593:PQW196594 QAJ196593:QAS196594 QKF196593:QKO196594 QUB196593:QUK196594 RDX196593:REG196594 RNT196593:ROC196594 RXP196593:RXY196594 SHL196593:SHU196594 SRH196593:SRQ196594 TBD196593:TBM196594 TKZ196593:TLI196594 TUV196593:TVE196594 UER196593:UFA196594 UON196593:UOW196594 UYJ196593:UYS196594 VIF196593:VIO196594 VSB196593:VSK196594 WBX196593:WCG196594 WLT196593:WMC196594 WVP196593:WVY196594 H262129:Q262130 JD262129:JM262130 SZ262129:TI262130 ACV262129:ADE262130 AMR262129:ANA262130 AWN262129:AWW262130 BGJ262129:BGS262130 BQF262129:BQO262130 CAB262129:CAK262130 CJX262129:CKG262130 CTT262129:CUC262130 DDP262129:DDY262130 DNL262129:DNU262130 DXH262129:DXQ262130 EHD262129:EHM262130 EQZ262129:ERI262130 FAV262129:FBE262130 FKR262129:FLA262130 FUN262129:FUW262130 GEJ262129:GES262130 GOF262129:GOO262130 GYB262129:GYK262130 HHX262129:HIG262130 HRT262129:HSC262130 IBP262129:IBY262130 ILL262129:ILU262130 IVH262129:IVQ262130 JFD262129:JFM262130 JOZ262129:JPI262130 JYV262129:JZE262130 KIR262129:KJA262130 KSN262129:KSW262130 LCJ262129:LCS262130 LMF262129:LMO262130 LWB262129:LWK262130 MFX262129:MGG262130 MPT262129:MQC262130 MZP262129:MZY262130 NJL262129:NJU262130 NTH262129:NTQ262130 ODD262129:ODM262130 OMZ262129:ONI262130 OWV262129:OXE262130 PGR262129:PHA262130 PQN262129:PQW262130 QAJ262129:QAS262130 QKF262129:QKO262130 QUB262129:QUK262130 RDX262129:REG262130 RNT262129:ROC262130 RXP262129:RXY262130 SHL262129:SHU262130 SRH262129:SRQ262130 TBD262129:TBM262130 TKZ262129:TLI262130 TUV262129:TVE262130 UER262129:UFA262130 UON262129:UOW262130 UYJ262129:UYS262130 VIF262129:VIO262130 VSB262129:VSK262130 WBX262129:WCG262130 WLT262129:WMC262130 WVP262129:WVY262130 H327665:Q327666 JD327665:JM327666 SZ327665:TI327666 ACV327665:ADE327666 AMR327665:ANA327666 AWN327665:AWW327666 BGJ327665:BGS327666 BQF327665:BQO327666 CAB327665:CAK327666 CJX327665:CKG327666 CTT327665:CUC327666 DDP327665:DDY327666 DNL327665:DNU327666 DXH327665:DXQ327666 EHD327665:EHM327666 EQZ327665:ERI327666 FAV327665:FBE327666 FKR327665:FLA327666 FUN327665:FUW327666 GEJ327665:GES327666 GOF327665:GOO327666 GYB327665:GYK327666 HHX327665:HIG327666 HRT327665:HSC327666 IBP327665:IBY327666 ILL327665:ILU327666 IVH327665:IVQ327666 JFD327665:JFM327666 JOZ327665:JPI327666 JYV327665:JZE327666 KIR327665:KJA327666 KSN327665:KSW327666 LCJ327665:LCS327666 LMF327665:LMO327666 LWB327665:LWK327666 MFX327665:MGG327666 MPT327665:MQC327666 MZP327665:MZY327666 NJL327665:NJU327666 NTH327665:NTQ327666 ODD327665:ODM327666 OMZ327665:ONI327666 OWV327665:OXE327666 PGR327665:PHA327666 PQN327665:PQW327666 QAJ327665:QAS327666 QKF327665:QKO327666 QUB327665:QUK327666 RDX327665:REG327666 RNT327665:ROC327666 RXP327665:RXY327666 SHL327665:SHU327666 SRH327665:SRQ327666 TBD327665:TBM327666 TKZ327665:TLI327666 TUV327665:TVE327666 UER327665:UFA327666 UON327665:UOW327666 UYJ327665:UYS327666 VIF327665:VIO327666 VSB327665:VSK327666 WBX327665:WCG327666 WLT327665:WMC327666 WVP327665:WVY327666 H393201:Q393202 JD393201:JM393202 SZ393201:TI393202 ACV393201:ADE393202 AMR393201:ANA393202 AWN393201:AWW393202 BGJ393201:BGS393202 BQF393201:BQO393202 CAB393201:CAK393202 CJX393201:CKG393202 CTT393201:CUC393202 DDP393201:DDY393202 DNL393201:DNU393202 DXH393201:DXQ393202 EHD393201:EHM393202 EQZ393201:ERI393202 FAV393201:FBE393202 FKR393201:FLA393202 FUN393201:FUW393202 GEJ393201:GES393202 GOF393201:GOO393202 GYB393201:GYK393202 HHX393201:HIG393202 HRT393201:HSC393202 IBP393201:IBY393202 ILL393201:ILU393202 IVH393201:IVQ393202 JFD393201:JFM393202 JOZ393201:JPI393202 JYV393201:JZE393202 KIR393201:KJA393202 KSN393201:KSW393202 LCJ393201:LCS393202 LMF393201:LMO393202 LWB393201:LWK393202 MFX393201:MGG393202 MPT393201:MQC393202 MZP393201:MZY393202 NJL393201:NJU393202 NTH393201:NTQ393202 ODD393201:ODM393202 OMZ393201:ONI393202 OWV393201:OXE393202 PGR393201:PHA393202 PQN393201:PQW393202 QAJ393201:QAS393202 QKF393201:QKO393202 QUB393201:QUK393202 RDX393201:REG393202 RNT393201:ROC393202 RXP393201:RXY393202 SHL393201:SHU393202 SRH393201:SRQ393202 TBD393201:TBM393202 TKZ393201:TLI393202 TUV393201:TVE393202 UER393201:UFA393202 UON393201:UOW393202 UYJ393201:UYS393202 VIF393201:VIO393202 VSB393201:VSK393202 WBX393201:WCG393202 WLT393201:WMC393202 WVP393201:WVY393202 H458737:Q458738 JD458737:JM458738 SZ458737:TI458738 ACV458737:ADE458738 AMR458737:ANA458738 AWN458737:AWW458738 BGJ458737:BGS458738 BQF458737:BQO458738 CAB458737:CAK458738 CJX458737:CKG458738 CTT458737:CUC458738 DDP458737:DDY458738 DNL458737:DNU458738 DXH458737:DXQ458738 EHD458737:EHM458738 EQZ458737:ERI458738 FAV458737:FBE458738 FKR458737:FLA458738 FUN458737:FUW458738 GEJ458737:GES458738 GOF458737:GOO458738 GYB458737:GYK458738 HHX458737:HIG458738 HRT458737:HSC458738 IBP458737:IBY458738 ILL458737:ILU458738 IVH458737:IVQ458738 JFD458737:JFM458738 JOZ458737:JPI458738 JYV458737:JZE458738 KIR458737:KJA458738 KSN458737:KSW458738 LCJ458737:LCS458738 LMF458737:LMO458738 LWB458737:LWK458738 MFX458737:MGG458738 MPT458737:MQC458738 MZP458737:MZY458738 NJL458737:NJU458738 NTH458737:NTQ458738 ODD458737:ODM458738 OMZ458737:ONI458738 OWV458737:OXE458738 PGR458737:PHA458738 PQN458737:PQW458738 QAJ458737:QAS458738 QKF458737:QKO458738 QUB458737:QUK458738 RDX458737:REG458738 RNT458737:ROC458738 RXP458737:RXY458738 SHL458737:SHU458738 SRH458737:SRQ458738 TBD458737:TBM458738 TKZ458737:TLI458738 TUV458737:TVE458738 UER458737:UFA458738 UON458737:UOW458738 UYJ458737:UYS458738 VIF458737:VIO458738 VSB458737:VSK458738 WBX458737:WCG458738 WLT458737:WMC458738 WVP458737:WVY458738 H524273:Q524274 JD524273:JM524274 SZ524273:TI524274 ACV524273:ADE524274 AMR524273:ANA524274 AWN524273:AWW524274 BGJ524273:BGS524274 BQF524273:BQO524274 CAB524273:CAK524274 CJX524273:CKG524274 CTT524273:CUC524274 DDP524273:DDY524274 DNL524273:DNU524274 DXH524273:DXQ524274 EHD524273:EHM524274 EQZ524273:ERI524274 FAV524273:FBE524274 FKR524273:FLA524274 FUN524273:FUW524274 GEJ524273:GES524274 GOF524273:GOO524274 GYB524273:GYK524274 HHX524273:HIG524274 HRT524273:HSC524274 IBP524273:IBY524274 ILL524273:ILU524274 IVH524273:IVQ524274 JFD524273:JFM524274 JOZ524273:JPI524274 JYV524273:JZE524274 KIR524273:KJA524274 KSN524273:KSW524274 LCJ524273:LCS524274 LMF524273:LMO524274 LWB524273:LWK524274 MFX524273:MGG524274 MPT524273:MQC524274 MZP524273:MZY524274 NJL524273:NJU524274 NTH524273:NTQ524274 ODD524273:ODM524274 OMZ524273:ONI524274 OWV524273:OXE524274 PGR524273:PHA524274 PQN524273:PQW524274 QAJ524273:QAS524274 QKF524273:QKO524274 QUB524273:QUK524274 RDX524273:REG524274 RNT524273:ROC524274 RXP524273:RXY524274 SHL524273:SHU524274 SRH524273:SRQ524274 TBD524273:TBM524274 TKZ524273:TLI524274 TUV524273:TVE524274 UER524273:UFA524274 UON524273:UOW524274 UYJ524273:UYS524274 VIF524273:VIO524274 VSB524273:VSK524274 WBX524273:WCG524274 WLT524273:WMC524274 WVP524273:WVY524274 H589809:Q589810 JD589809:JM589810 SZ589809:TI589810 ACV589809:ADE589810 AMR589809:ANA589810 AWN589809:AWW589810 BGJ589809:BGS589810 BQF589809:BQO589810 CAB589809:CAK589810 CJX589809:CKG589810 CTT589809:CUC589810 DDP589809:DDY589810 DNL589809:DNU589810 DXH589809:DXQ589810 EHD589809:EHM589810 EQZ589809:ERI589810 FAV589809:FBE589810 FKR589809:FLA589810 FUN589809:FUW589810 GEJ589809:GES589810 GOF589809:GOO589810 GYB589809:GYK589810 HHX589809:HIG589810 HRT589809:HSC589810 IBP589809:IBY589810 ILL589809:ILU589810 IVH589809:IVQ589810 JFD589809:JFM589810 JOZ589809:JPI589810 JYV589809:JZE589810 KIR589809:KJA589810 KSN589809:KSW589810 LCJ589809:LCS589810 LMF589809:LMO589810 LWB589809:LWK589810 MFX589809:MGG589810 MPT589809:MQC589810 MZP589809:MZY589810 NJL589809:NJU589810 NTH589809:NTQ589810 ODD589809:ODM589810 OMZ589809:ONI589810 OWV589809:OXE589810 PGR589809:PHA589810 PQN589809:PQW589810 QAJ589809:QAS589810 QKF589809:QKO589810 QUB589809:QUK589810 RDX589809:REG589810 RNT589809:ROC589810 RXP589809:RXY589810 SHL589809:SHU589810 SRH589809:SRQ589810 TBD589809:TBM589810 TKZ589809:TLI589810 TUV589809:TVE589810 UER589809:UFA589810 UON589809:UOW589810 UYJ589809:UYS589810 VIF589809:VIO589810 VSB589809:VSK589810 WBX589809:WCG589810 WLT589809:WMC589810 WVP589809:WVY589810 H655345:Q655346 JD655345:JM655346 SZ655345:TI655346 ACV655345:ADE655346 AMR655345:ANA655346 AWN655345:AWW655346 BGJ655345:BGS655346 BQF655345:BQO655346 CAB655345:CAK655346 CJX655345:CKG655346 CTT655345:CUC655346 DDP655345:DDY655346 DNL655345:DNU655346 DXH655345:DXQ655346 EHD655345:EHM655346 EQZ655345:ERI655346 FAV655345:FBE655346 FKR655345:FLA655346 FUN655345:FUW655346 GEJ655345:GES655346 GOF655345:GOO655346 GYB655345:GYK655346 HHX655345:HIG655346 HRT655345:HSC655346 IBP655345:IBY655346 ILL655345:ILU655346 IVH655345:IVQ655346 JFD655345:JFM655346 JOZ655345:JPI655346 JYV655345:JZE655346 KIR655345:KJA655346 KSN655345:KSW655346 LCJ655345:LCS655346 LMF655345:LMO655346 LWB655345:LWK655346 MFX655345:MGG655346 MPT655345:MQC655346 MZP655345:MZY655346 NJL655345:NJU655346 NTH655345:NTQ655346 ODD655345:ODM655346 OMZ655345:ONI655346 OWV655345:OXE655346 PGR655345:PHA655346 PQN655345:PQW655346 QAJ655345:QAS655346 QKF655345:QKO655346 QUB655345:QUK655346 RDX655345:REG655346 RNT655345:ROC655346 RXP655345:RXY655346 SHL655345:SHU655346 SRH655345:SRQ655346 TBD655345:TBM655346 TKZ655345:TLI655346 TUV655345:TVE655346 UER655345:UFA655346 UON655345:UOW655346 UYJ655345:UYS655346 VIF655345:VIO655346 VSB655345:VSK655346 WBX655345:WCG655346 WLT655345:WMC655346 WVP655345:WVY655346 H720881:Q720882 JD720881:JM720882 SZ720881:TI720882 ACV720881:ADE720882 AMR720881:ANA720882 AWN720881:AWW720882 BGJ720881:BGS720882 BQF720881:BQO720882 CAB720881:CAK720882 CJX720881:CKG720882 CTT720881:CUC720882 DDP720881:DDY720882 DNL720881:DNU720882 DXH720881:DXQ720882 EHD720881:EHM720882 EQZ720881:ERI720882 FAV720881:FBE720882 FKR720881:FLA720882 FUN720881:FUW720882 GEJ720881:GES720882 GOF720881:GOO720882 GYB720881:GYK720882 HHX720881:HIG720882 HRT720881:HSC720882 IBP720881:IBY720882 ILL720881:ILU720882 IVH720881:IVQ720882 JFD720881:JFM720882 JOZ720881:JPI720882 JYV720881:JZE720882 KIR720881:KJA720882 KSN720881:KSW720882 LCJ720881:LCS720882 LMF720881:LMO720882 LWB720881:LWK720882 MFX720881:MGG720882 MPT720881:MQC720882 MZP720881:MZY720882 NJL720881:NJU720882 NTH720881:NTQ720882 ODD720881:ODM720882 OMZ720881:ONI720882 OWV720881:OXE720882 PGR720881:PHA720882 PQN720881:PQW720882 QAJ720881:QAS720882 QKF720881:QKO720882 QUB720881:QUK720882 RDX720881:REG720882 RNT720881:ROC720882 RXP720881:RXY720882 SHL720881:SHU720882 SRH720881:SRQ720882 TBD720881:TBM720882 TKZ720881:TLI720882 TUV720881:TVE720882 UER720881:UFA720882 UON720881:UOW720882 UYJ720881:UYS720882 VIF720881:VIO720882 VSB720881:VSK720882 WBX720881:WCG720882 WLT720881:WMC720882 WVP720881:WVY720882 H786417:Q786418 JD786417:JM786418 SZ786417:TI786418 ACV786417:ADE786418 AMR786417:ANA786418 AWN786417:AWW786418 BGJ786417:BGS786418 BQF786417:BQO786418 CAB786417:CAK786418 CJX786417:CKG786418 CTT786417:CUC786418 DDP786417:DDY786418 DNL786417:DNU786418 DXH786417:DXQ786418 EHD786417:EHM786418 EQZ786417:ERI786418 FAV786417:FBE786418 FKR786417:FLA786418 FUN786417:FUW786418 GEJ786417:GES786418 GOF786417:GOO786418 GYB786417:GYK786418 HHX786417:HIG786418 HRT786417:HSC786418 IBP786417:IBY786418 ILL786417:ILU786418 IVH786417:IVQ786418 JFD786417:JFM786418 JOZ786417:JPI786418 JYV786417:JZE786418 KIR786417:KJA786418 KSN786417:KSW786418 LCJ786417:LCS786418 LMF786417:LMO786418 LWB786417:LWK786418 MFX786417:MGG786418 MPT786417:MQC786418 MZP786417:MZY786418 NJL786417:NJU786418 NTH786417:NTQ786418 ODD786417:ODM786418 OMZ786417:ONI786418 OWV786417:OXE786418 PGR786417:PHA786418 PQN786417:PQW786418 QAJ786417:QAS786418 QKF786417:QKO786418 QUB786417:QUK786418 RDX786417:REG786418 RNT786417:ROC786418 RXP786417:RXY786418 SHL786417:SHU786418 SRH786417:SRQ786418 TBD786417:TBM786418 TKZ786417:TLI786418 TUV786417:TVE786418 UER786417:UFA786418 UON786417:UOW786418 UYJ786417:UYS786418 VIF786417:VIO786418 VSB786417:VSK786418 WBX786417:WCG786418 WLT786417:WMC786418 WVP786417:WVY786418 H851953:Q851954 JD851953:JM851954 SZ851953:TI851954 ACV851953:ADE851954 AMR851953:ANA851954 AWN851953:AWW851954 BGJ851953:BGS851954 BQF851953:BQO851954 CAB851953:CAK851954 CJX851953:CKG851954 CTT851953:CUC851954 DDP851953:DDY851954 DNL851953:DNU851954 DXH851953:DXQ851954 EHD851953:EHM851954 EQZ851953:ERI851954 FAV851953:FBE851954 FKR851953:FLA851954 FUN851953:FUW851954 GEJ851953:GES851954 GOF851953:GOO851954 GYB851953:GYK851954 HHX851953:HIG851954 HRT851953:HSC851954 IBP851953:IBY851954 ILL851953:ILU851954 IVH851953:IVQ851954 JFD851953:JFM851954 JOZ851953:JPI851954 JYV851953:JZE851954 KIR851953:KJA851954 KSN851953:KSW851954 LCJ851953:LCS851954 LMF851953:LMO851954 LWB851953:LWK851954 MFX851953:MGG851954 MPT851953:MQC851954 MZP851953:MZY851954 NJL851953:NJU851954 NTH851953:NTQ851954 ODD851953:ODM851954 OMZ851953:ONI851954 OWV851953:OXE851954 PGR851953:PHA851954 PQN851953:PQW851954 QAJ851953:QAS851954 QKF851953:QKO851954 QUB851953:QUK851954 RDX851953:REG851954 RNT851953:ROC851954 RXP851953:RXY851954 SHL851953:SHU851954 SRH851953:SRQ851954 TBD851953:TBM851954 TKZ851953:TLI851954 TUV851953:TVE851954 UER851953:UFA851954 UON851953:UOW851954 UYJ851953:UYS851954 VIF851953:VIO851954 VSB851953:VSK851954 WBX851953:WCG851954 WLT851953:WMC851954 WVP851953:WVY851954 H917489:Q917490 JD917489:JM917490 SZ917489:TI917490 ACV917489:ADE917490 AMR917489:ANA917490 AWN917489:AWW917490 BGJ917489:BGS917490 BQF917489:BQO917490 CAB917489:CAK917490 CJX917489:CKG917490 CTT917489:CUC917490 DDP917489:DDY917490 DNL917489:DNU917490 DXH917489:DXQ917490 EHD917489:EHM917490 EQZ917489:ERI917490 FAV917489:FBE917490 FKR917489:FLA917490 FUN917489:FUW917490 GEJ917489:GES917490 GOF917489:GOO917490 GYB917489:GYK917490 HHX917489:HIG917490 HRT917489:HSC917490 IBP917489:IBY917490 ILL917489:ILU917490 IVH917489:IVQ917490 JFD917489:JFM917490 JOZ917489:JPI917490 JYV917489:JZE917490 KIR917489:KJA917490 KSN917489:KSW917490 LCJ917489:LCS917490 LMF917489:LMO917490 LWB917489:LWK917490 MFX917489:MGG917490 MPT917489:MQC917490 MZP917489:MZY917490 NJL917489:NJU917490 NTH917489:NTQ917490 ODD917489:ODM917490 OMZ917489:ONI917490 OWV917489:OXE917490 PGR917489:PHA917490 PQN917489:PQW917490 QAJ917489:QAS917490 QKF917489:QKO917490 QUB917489:QUK917490 RDX917489:REG917490 RNT917489:ROC917490 RXP917489:RXY917490 SHL917489:SHU917490 SRH917489:SRQ917490 TBD917489:TBM917490 TKZ917489:TLI917490 TUV917489:TVE917490 UER917489:UFA917490 UON917489:UOW917490 UYJ917489:UYS917490 VIF917489:VIO917490 VSB917489:VSK917490 WBX917489:WCG917490 WLT917489:WMC917490 WVP917489:WVY917490 H983025:Q983026 JD983025:JM983026 SZ983025:TI983026 ACV983025:ADE983026 AMR983025:ANA983026 AWN983025:AWW983026 BGJ983025:BGS983026 BQF983025:BQO983026 CAB983025:CAK983026 CJX983025:CKG983026 CTT983025:CUC983026 DDP983025:DDY983026 DNL983025:DNU983026 DXH983025:DXQ983026 EHD983025:EHM983026 EQZ983025:ERI983026 FAV983025:FBE983026 FKR983025:FLA983026 FUN983025:FUW983026 GEJ983025:GES983026 GOF983025:GOO983026 GYB983025:GYK983026 HHX983025:HIG983026 HRT983025:HSC983026 IBP983025:IBY983026 ILL983025:ILU983026 IVH983025:IVQ983026 JFD983025:JFM983026 JOZ983025:JPI983026 JYV983025:JZE983026 KIR983025:KJA983026 KSN983025:KSW983026 LCJ983025:LCS983026 LMF983025:LMO983026 LWB983025:LWK983026 MFX983025:MGG983026 MPT983025:MQC983026 MZP983025:MZY983026 NJL983025:NJU983026 NTH983025:NTQ983026 ODD983025:ODM983026 OMZ983025:ONI983026 OWV983025:OXE983026 PGR983025:PHA983026 PQN983025:PQW983026 QAJ983025:QAS983026 QKF983025:QKO983026 QUB983025:QUK983026 RDX983025:REG983026 RNT983025:ROC983026 RXP983025:RXY983026 SHL983025:SHU983026 SRH983025:SRQ983026 TBD983025:TBM983026 TKZ983025:TLI983026 TUV983025:TVE983026 UER983025:UFA983026 UON983025:UOW983026 UYJ983025:UYS983026 VIF983025:VIO983026 VSB983025:VSK983026 WBX983025:WCG983026 WLT983025:WMC983026 WVP983025:WVY983026 G65565:Q65566 JC65565:JM65566 SY65565:TI65566 ACU65565:ADE65566 AMQ65565:ANA65566 AWM65565:AWW65566 BGI65565:BGS65566 BQE65565:BQO65566 CAA65565:CAK65566 CJW65565:CKG65566 CTS65565:CUC65566 DDO65565:DDY65566 DNK65565:DNU65566 DXG65565:DXQ65566 EHC65565:EHM65566 EQY65565:ERI65566 FAU65565:FBE65566 FKQ65565:FLA65566 FUM65565:FUW65566 GEI65565:GES65566 GOE65565:GOO65566 GYA65565:GYK65566 HHW65565:HIG65566 HRS65565:HSC65566 IBO65565:IBY65566 ILK65565:ILU65566 IVG65565:IVQ65566 JFC65565:JFM65566 JOY65565:JPI65566 JYU65565:JZE65566 KIQ65565:KJA65566 KSM65565:KSW65566 LCI65565:LCS65566 LME65565:LMO65566 LWA65565:LWK65566 MFW65565:MGG65566 MPS65565:MQC65566 MZO65565:MZY65566 NJK65565:NJU65566 NTG65565:NTQ65566 ODC65565:ODM65566 OMY65565:ONI65566 OWU65565:OXE65566 PGQ65565:PHA65566 PQM65565:PQW65566 QAI65565:QAS65566 QKE65565:QKO65566 QUA65565:QUK65566 RDW65565:REG65566 RNS65565:ROC65566 RXO65565:RXY65566 SHK65565:SHU65566 SRG65565:SRQ65566 TBC65565:TBM65566 TKY65565:TLI65566 TUU65565:TVE65566 UEQ65565:UFA65566 UOM65565:UOW65566 UYI65565:UYS65566 VIE65565:VIO65566 VSA65565:VSK65566 WBW65565:WCG65566 WLS65565:WMC65566 WVO65565:WVY65566 G131101:Q131102 JC131101:JM131102 SY131101:TI131102 ACU131101:ADE131102 AMQ131101:ANA131102 AWM131101:AWW131102 BGI131101:BGS131102 BQE131101:BQO131102 CAA131101:CAK131102 CJW131101:CKG131102 CTS131101:CUC131102 DDO131101:DDY131102 DNK131101:DNU131102 DXG131101:DXQ131102 EHC131101:EHM131102 EQY131101:ERI131102 FAU131101:FBE131102 FKQ131101:FLA131102 FUM131101:FUW131102 GEI131101:GES131102 GOE131101:GOO131102 GYA131101:GYK131102 HHW131101:HIG131102 HRS131101:HSC131102 IBO131101:IBY131102 ILK131101:ILU131102 IVG131101:IVQ131102 JFC131101:JFM131102 JOY131101:JPI131102 JYU131101:JZE131102 KIQ131101:KJA131102 KSM131101:KSW131102 LCI131101:LCS131102 LME131101:LMO131102 LWA131101:LWK131102 MFW131101:MGG131102 MPS131101:MQC131102 MZO131101:MZY131102 NJK131101:NJU131102 NTG131101:NTQ131102 ODC131101:ODM131102 OMY131101:ONI131102 OWU131101:OXE131102 PGQ131101:PHA131102 PQM131101:PQW131102 QAI131101:QAS131102 QKE131101:QKO131102 QUA131101:QUK131102 RDW131101:REG131102 RNS131101:ROC131102 RXO131101:RXY131102 SHK131101:SHU131102 SRG131101:SRQ131102 TBC131101:TBM131102 TKY131101:TLI131102 TUU131101:TVE131102 UEQ131101:UFA131102 UOM131101:UOW131102 UYI131101:UYS131102 VIE131101:VIO131102 VSA131101:VSK131102 WBW131101:WCG131102 WLS131101:WMC131102 WVO131101:WVY131102 G196637:Q196638 JC196637:JM196638 SY196637:TI196638 ACU196637:ADE196638 AMQ196637:ANA196638 AWM196637:AWW196638 BGI196637:BGS196638 BQE196637:BQO196638 CAA196637:CAK196638 CJW196637:CKG196638 CTS196637:CUC196638 DDO196637:DDY196638 DNK196637:DNU196638 DXG196637:DXQ196638 EHC196637:EHM196638 EQY196637:ERI196638 FAU196637:FBE196638 FKQ196637:FLA196638 FUM196637:FUW196638 GEI196637:GES196638 GOE196637:GOO196638 GYA196637:GYK196638 HHW196637:HIG196638 HRS196637:HSC196638 IBO196637:IBY196638 ILK196637:ILU196638 IVG196637:IVQ196638 JFC196637:JFM196638 JOY196637:JPI196638 JYU196637:JZE196638 KIQ196637:KJA196638 KSM196637:KSW196638 LCI196637:LCS196638 LME196637:LMO196638 LWA196637:LWK196638 MFW196637:MGG196638 MPS196637:MQC196638 MZO196637:MZY196638 NJK196637:NJU196638 NTG196637:NTQ196638 ODC196637:ODM196638 OMY196637:ONI196638 OWU196637:OXE196638 PGQ196637:PHA196638 PQM196637:PQW196638 QAI196637:QAS196638 QKE196637:QKO196638 QUA196637:QUK196638 RDW196637:REG196638 RNS196637:ROC196638 RXO196637:RXY196638 SHK196637:SHU196638 SRG196637:SRQ196638 TBC196637:TBM196638 TKY196637:TLI196638 TUU196637:TVE196638 UEQ196637:UFA196638 UOM196637:UOW196638 UYI196637:UYS196638 VIE196637:VIO196638 VSA196637:VSK196638 WBW196637:WCG196638 WLS196637:WMC196638 WVO196637:WVY196638 G262173:Q262174 JC262173:JM262174 SY262173:TI262174 ACU262173:ADE262174 AMQ262173:ANA262174 AWM262173:AWW262174 BGI262173:BGS262174 BQE262173:BQO262174 CAA262173:CAK262174 CJW262173:CKG262174 CTS262173:CUC262174 DDO262173:DDY262174 DNK262173:DNU262174 DXG262173:DXQ262174 EHC262173:EHM262174 EQY262173:ERI262174 FAU262173:FBE262174 FKQ262173:FLA262174 FUM262173:FUW262174 GEI262173:GES262174 GOE262173:GOO262174 GYA262173:GYK262174 HHW262173:HIG262174 HRS262173:HSC262174 IBO262173:IBY262174 ILK262173:ILU262174 IVG262173:IVQ262174 JFC262173:JFM262174 JOY262173:JPI262174 JYU262173:JZE262174 KIQ262173:KJA262174 KSM262173:KSW262174 LCI262173:LCS262174 LME262173:LMO262174 LWA262173:LWK262174 MFW262173:MGG262174 MPS262173:MQC262174 MZO262173:MZY262174 NJK262173:NJU262174 NTG262173:NTQ262174 ODC262173:ODM262174 OMY262173:ONI262174 OWU262173:OXE262174 PGQ262173:PHA262174 PQM262173:PQW262174 QAI262173:QAS262174 QKE262173:QKO262174 QUA262173:QUK262174 RDW262173:REG262174 RNS262173:ROC262174 RXO262173:RXY262174 SHK262173:SHU262174 SRG262173:SRQ262174 TBC262173:TBM262174 TKY262173:TLI262174 TUU262173:TVE262174 UEQ262173:UFA262174 UOM262173:UOW262174 UYI262173:UYS262174 VIE262173:VIO262174 VSA262173:VSK262174 WBW262173:WCG262174 WLS262173:WMC262174 WVO262173:WVY262174 G327709:Q327710 JC327709:JM327710 SY327709:TI327710 ACU327709:ADE327710 AMQ327709:ANA327710 AWM327709:AWW327710 BGI327709:BGS327710 BQE327709:BQO327710 CAA327709:CAK327710 CJW327709:CKG327710 CTS327709:CUC327710 DDO327709:DDY327710 DNK327709:DNU327710 DXG327709:DXQ327710 EHC327709:EHM327710 EQY327709:ERI327710 FAU327709:FBE327710 FKQ327709:FLA327710 FUM327709:FUW327710 GEI327709:GES327710 GOE327709:GOO327710 GYA327709:GYK327710 HHW327709:HIG327710 HRS327709:HSC327710 IBO327709:IBY327710 ILK327709:ILU327710 IVG327709:IVQ327710 JFC327709:JFM327710 JOY327709:JPI327710 JYU327709:JZE327710 KIQ327709:KJA327710 KSM327709:KSW327710 LCI327709:LCS327710 LME327709:LMO327710 LWA327709:LWK327710 MFW327709:MGG327710 MPS327709:MQC327710 MZO327709:MZY327710 NJK327709:NJU327710 NTG327709:NTQ327710 ODC327709:ODM327710 OMY327709:ONI327710 OWU327709:OXE327710 PGQ327709:PHA327710 PQM327709:PQW327710 QAI327709:QAS327710 QKE327709:QKO327710 QUA327709:QUK327710 RDW327709:REG327710 RNS327709:ROC327710 RXO327709:RXY327710 SHK327709:SHU327710 SRG327709:SRQ327710 TBC327709:TBM327710 TKY327709:TLI327710 TUU327709:TVE327710 UEQ327709:UFA327710 UOM327709:UOW327710 UYI327709:UYS327710 VIE327709:VIO327710 VSA327709:VSK327710 WBW327709:WCG327710 WLS327709:WMC327710 WVO327709:WVY327710 G393245:Q393246 JC393245:JM393246 SY393245:TI393246 ACU393245:ADE393246 AMQ393245:ANA393246 AWM393245:AWW393246 BGI393245:BGS393246 BQE393245:BQO393246 CAA393245:CAK393246 CJW393245:CKG393246 CTS393245:CUC393246 DDO393245:DDY393246 DNK393245:DNU393246 DXG393245:DXQ393246 EHC393245:EHM393246 EQY393245:ERI393246 FAU393245:FBE393246 FKQ393245:FLA393246 FUM393245:FUW393246 GEI393245:GES393246 GOE393245:GOO393246 GYA393245:GYK393246 HHW393245:HIG393246 HRS393245:HSC393246 IBO393245:IBY393246 ILK393245:ILU393246 IVG393245:IVQ393246 JFC393245:JFM393246 JOY393245:JPI393246 JYU393245:JZE393246 KIQ393245:KJA393246 KSM393245:KSW393246 LCI393245:LCS393246 LME393245:LMO393246 LWA393245:LWK393246 MFW393245:MGG393246 MPS393245:MQC393246 MZO393245:MZY393246 NJK393245:NJU393246 NTG393245:NTQ393246 ODC393245:ODM393246 OMY393245:ONI393246 OWU393245:OXE393246 PGQ393245:PHA393246 PQM393245:PQW393246 QAI393245:QAS393246 QKE393245:QKO393246 QUA393245:QUK393246 RDW393245:REG393246 RNS393245:ROC393246 RXO393245:RXY393246 SHK393245:SHU393246 SRG393245:SRQ393246 TBC393245:TBM393246 TKY393245:TLI393246 TUU393245:TVE393246 UEQ393245:UFA393246 UOM393245:UOW393246 UYI393245:UYS393246 VIE393245:VIO393246 VSA393245:VSK393246 WBW393245:WCG393246 WLS393245:WMC393246 WVO393245:WVY393246 G458781:Q458782 JC458781:JM458782 SY458781:TI458782 ACU458781:ADE458782 AMQ458781:ANA458782 AWM458781:AWW458782 BGI458781:BGS458782 BQE458781:BQO458782 CAA458781:CAK458782 CJW458781:CKG458782 CTS458781:CUC458782 DDO458781:DDY458782 DNK458781:DNU458782 DXG458781:DXQ458782 EHC458781:EHM458782 EQY458781:ERI458782 FAU458781:FBE458782 FKQ458781:FLA458782 FUM458781:FUW458782 GEI458781:GES458782 GOE458781:GOO458782 GYA458781:GYK458782 HHW458781:HIG458782 HRS458781:HSC458782 IBO458781:IBY458782 ILK458781:ILU458782 IVG458781:IVQ458782 JFC458781:JFM458782 JOY458781:JPI458782 JYU458781:JZE458782 KIQ458781:KJA458782 KSM458781:KSW458782 LCI458781:LCS458782 LME458781:LMO458782 LWA458781:LWK458782 MFW458781:MGG458782 MPS458781:MQC458782 MZO458781:MZY458782 NJK458781:NJU458782 NTG458781:NTQ458782 ODC458781:ODM458782 OMY458781:ONI458782 OWU458781:OXE458782 PGQ458781:PHA458782 PQM458781:PQW458782 QAI458781:QAS458782 QKE458781:QKO458782 QUA458781:QUK458782 RDW458781:REG458782 RNS458781:ROC458782 RXO458781:RXY458782 SHK458781:SHU458782 SRG458781:SRQ458782 TBC458781:TBM458782 TKY458781:TLI458782 TUU458781:TVE458782 UEQ458781:UFA458782 UOM458781:UOW458782 UYI458781:UYS458782 VIE458781:VIO458782 VSA458781:VSK458782 WBW458781:WCG458782 WLS458781:WMC458782 WVO458781:WVY458782 G524317:Q524318 JC524317:JM524318 SY524317:TI524318 ACU524317:ADE524318 AMQ524317:ANA524318 AWM524317:AWW524318 BGI524317:BGS524318 BQE524317:BQO524318 CAA524317:CAK524318 CJW524317:CKG524318 CTS524317:CUC524318 DDO524317:DDY524318 DNK524317:DNU524318 DXG524317:DXQ524318 EHC524317:EHM524318 EQY524317:ERI524318 FAU524317:FBE524318 FKQ524317:FLA524318 FUM524317:FUW524318 GEI524317:GES524318 GOE524317:GOO524318 GYA524317:GYK524318 HHW524317:HIG524318 HRS524317:HSC524318 IBO524317:IBY524318 ILK524317:ILU524318 IVG524317:IVQ524318 JFC524317:JFM524318 JOY524317:JPI524318 JYU524317:JZE524318 KIQ524317:KJA524318 KSM524317:KSW524318 LCI524317:LCS524318 LME524317:LMO524318 LWA524317:LWK524318 MFW524317:MGG524318 MPS524317:MQC524318 MZO524317:MZY524318 NJK524317:NJU524318 NTG524317:NTQ524318 ODC524317:ODM524318 OMY524317:ONI524318 OWU524317:OXE524318 PGQ524317:PHA524318 PQM524317:PQW524318 QAI524317:QAS524318 QKE524317:QKO524318 QUA524317:QUK524318 RDW524317:REG524318 RNS524317:ROC524318 RXO524317:RXY524318 SHK524317:SHU524318 SRG524317:SRQ524318 TBC524317:TBM524318 TKY524317:TLI524318 TUU524317:TVE524318 UEQ524317:UFA524318 UOM524317:UOW524318 UYI524317:UYS524318 VIE524317:VIO524318 VSA524317:VSK524318 WBW524317:WCG524318 WLS524317:WMC524318 WVO524317:WVY524318 G589853:Q589854 JC589853:JM589854 SY589853:TI589854 ACU589853:ADE589854 AMQ589853:ANA589854 AWM589853:AWW589854 BGI589853:BGS589854 BQE589853:BQO589854 CAA589853:CAK589854 CJW589853:CKG589854 CTS589853:CUC589854 DDO589853:DDY589854 DNK589853:DNU589854 DXG589853:DXQ589854 EHC589853:EHM589854 EQY589853:ERI589854 FAU589853:FBE589854 FKQ589853:FLA589854 FUM589853:FUW589854 GEI589853:GES589854 GOE589853:GOO589854 GYA589853:GYK589854 HHW589853:HIG589854 HRS589853:HSC589854 IBO589853:IBY589854 ILK589853:ILU589854 IVG589853:IVQ589854 JFC589853:JFM589854 JOY589853:JPI589854 JYU589853:JZE589854 KIQ589853:KJA589854 KSM589853:KSW589854 LCI589853:LCS589854 LME589853:LMO589854 LWA589853:LWK589854 MFW589853:MGG589854 MPS589853:MQC589854 MZO589853:MZY589854 NJK589853:NJU589854 NTG589853:NTQ589854 ODC589853:ODM589854 OMY589853:ONI589854 OWU589853:OXE589854 PGQ589853:PHA589854 PQM589853:PQW589854 QAI589853:QAS589854 QKE589853:QKO589854 QUA589853:QUK589854 RDW589853:REG589854 RNS589853:ROC589854 RXO589853:RXY589854 SHK589853:SHU589854 SRG589853:SRQ589854 TBC589853:TBM589854 TKY589853:TLI589854 TUU589853:TVE589854 UEQ589853:UFA589854 UOM589853:UOW589854 UYI589853:UYS589854 VIE589853:VIO589854 VSA589853:VSK589854 WBW589853:WCG589854 WLS589853:WMC589854 WVO589853:WVY589854 G655389:Q655390 JC655389:JM655390 SY655389:TI655390 ACU655389:ADE655390 AMQ655389:ANA655390 AWM655389:AWW655390 BGI655389:BGS655390 BQE655389:BQO655390 CAA655389:CAK655390 CJW655389:CKG655390 CTS655389:CUC655390 DDO655389:DDY655390 DNK655389:DNU655390 DXG655389:DXQ655390 EHC655389:EHM655390 EQY655389:ERI655390 FAU655389:FBE655390 FKQ655389:FLA655390 FUM655389:FUW655390 GEI655389:GES655390 GOE655389:GOO655390 GYA655389:GYK655390 HHW655389:HIG655390 HRS655389:HSC655390 IBO655389:IBY655390 ILK655389:ILU655390 IVG655389:IVQ655390 JFC655389:JFM655390 JOY655389:JPI655390 JYU655389:JZE655390 KIQ655389:KJA655390 KSM655389:KSW655390 LCI655389:LCS655390 LME655389:LMO655390 LWA655389:LWK655390 MFW655389:MGG655390 MPS655389:MQC655390 MZO655389:MZY655390 NJK655389:NJU655390 NTG655389:NTQ655390 ODC655389:ODM655390 OMY655389:ONI655390 OWU655389:OXE655390 PGQ655389:PHA655390 PQM655389:PQW655390 QAI655389:QAS655390 QKE655389:QKO655390 QUA655389:QUK655390 RDW655389:REG655390 RNS655389:ROC655390 RXO655389:RXY655390 SHK655389:SHU655390 SRG655389:SRQ655390 TBC655389:TBM655390 TKY655389:TLI655390 TUU655389:TVE655390 UEQ655389:UFA655390 UOM655389:UOW655390 UYI655389:UYS655390 VIE655389:VIO655390 VSA655389:VSK655390 WBW655389:WCG655390 WLS655389:WMC655390 WVO655389:WVY655390 G720925:Q720926 JC720925:JM720926 SY720925:TI720926 ACU720925:ADE720926 AMQ720925:ANA720926 AWM720925:AWW720926 BGI720925:BGS720926 BQE720925:BQO720926 CAA720925:CAK720926 CJW720925:CKG720926 CTS720925:CUC720926 DDO720925:DDY720926 DNK720925:DNU720926 DXG720925:DXQ720926 EHC720925:EHM720926 EQY720925:ERI720926 FAU720925:FBE720926 FKQ720925:FLA720926 FUM720925:FUW720926 GEI720925:GES720926 GOE720925:GOO720926 GYA720925:GYK720926 HHW720925:HIG720926 HRS720925:HSC720926 IBO720925:IBY720926 ILK720925:ILU720926 IVG720925:IVQ720926 JFC720925:JFM720926 JOY720925:JPI720926 JYU720925:JZE720926 KIQ720925:KJA720926 KSM720925:KSW720926 LCI720925:LCS720926 LME720925:LMO720926 LWA720925:LWK720926 MFW720925:MGG720926 MPS720925:MQC720926 MZO720925:MZY720926 NJK720925:NJU720926 NTG720925:NTQ720926 ODC720925:ODM720926 OMY720925:ONI720926 OWU720925:OXE720926 PGQ720925:PHA720926 PQM720925:PQW720926 QAI720925:QAS720926 QKE720925:QKO720926 QUA720925:QUK720926 RDW720925:REG720926 RNS720925:ROC720926 RXO720925:RXY720926 SHK720925:SHU720926 SRG720925:SRQ720926 TBC720925:TBM720926 TKY720925:TLI720926 TUU720925:TVE720926 UEQ720925:UFA720926 UOM720925:UOW720926 UYI720925:UYS720926 VIE720925:VIO720926 VSA720925:VSK720926 WBW720925:WCG720926 WLS720925:WMC720926 WVO720925:WVY720926 G786461:Q786462 JC786461:JM786462 SY786461:TI786462 ACU786461:ADE786462 AMQ786461:ANA786462 AWM786461:AWW786462 BGI786461:BGS786462 BQE786461:BQO786462 CAA786461:CAK786462 CJW786461:CKG786462 CTS786461:CUC786462 DDO786461:DDY786462 DNK786461:DNU786462 DXG786461:DXQ786462 EHC786461:EHM786462 EQY786461:ERI786462 FAU786461:FBE786462 FKQ786461:FLA786462 FUM786461:FUW786462 GEI786461:GES786462 GOE786461:GOO786462 GYA786461:GYK786462 HHW786461:HIG786462 HRS786461:HSC786462 IBO786461:IBY786462 ILK786461:ILU786462 IVG786461:IVQ786462 JFC786461:JFM786462 JOY786461:JPI786462 JYU786461:JZE786462 KIQ786461:KJA786462 KSM786461:KSW786462 LCI786461:LCS786462 LME786461:LMO786462 LWA786461:LWK786462 MFW786461:MGG786462 MPS786461:MQC786462 MZO786461:MZY786462 NJK786461:NJU786462 NTG786461:NTQ786462 ODC786461:ODM786462 OMY786461:ONI786462 OWU786461:OXE786462 PGQ786461:PHA786462 PQM786461:PQW786462 QAI786461:QAS786462 QKE786461:QKO786462 QUA786461:QUK786462 RDW786461:REG786462 RNS786461:ROC786462 RXO786461:RXY786462 SHK786461:SHU786462 SRG786461:SRQ786462 TBC786461:TBM786462 TKY786461:TLI786462 TUU786461:TVE786462 UEQ786461:UFA786462 UOM786461:UOW786462 UYI786461:UYS786462 VIE786461:VIO786462 VSA786461:VSK786462 WBW786461:WCG786462 WLS786461:WMC786462 WVO786461:WVY786462 G851997:Q851998 JC851997:JM851998 SY851997:TI851998 ACU851997:ADE851998 AMQ851997:ANA851998 AWM851997:AWW851998 BGI851997:BGS851998 BQE851997:BQO851998 CAA851997:CAK851998 CJW851997:CKG851998 CTS851997:CUC851998 DDO851997:DDY851998 DNK851997:DNU851998 DXG851997:DXQ851998 EHC851997:EHM851998 EQY851997:ERI851998 FAU851997:FBE851998 FKQ851997:FLA851998 FUM851997:FUW851998 GEI851997:GES851998 GOE851997:GOO851998 GYA851997:GYK851998 HHW851997:HIG851998 HRS851997:HSC851998 IBO851997:IBY851998 ILK851997:ILU851998 IVG851997:IVQ851998 JFC851997:JFM851998 JOY851997:JPI851998 JYU851997:JZE851998 KIQ851997:KJA851998 KSM851997:KSW851998 LCI851997:LCS851998 LME851997:LMO851998 LWA851997:LWK851998 MFW851997:MGG851998 MPS851997:MQC851998 MZO851997:MZY851998 NJK851997:NJU851998 NTG851997:NTQ851998 ODC851997:ODM851998 OMY851997:ONI851998 OWU851997:OXE851998 PGQ851997:PHA851998 PQM851997:PQW851998 QAI851997:QAS851998 QKE851997:QKO851998 QUA851997:QUK851998 RDW851997:REG851998 RNS851997:ROC851998 RXO851997:RXY851998 SHK851997:SHU851998 SRG851997:SRQ851998 TBC851997:TBM851998 TKY851997:TLI851998 TUU851997:TVE851998 UEQ851997:UFA851998 UOM851997:UOW851998 UYI851997:UYS851998 VIE851997:VIO851998 VSA851997:VSK851998 WBW851997:WCG851998 WLS851997:WMC851998 WVO851997:WVY851998 G917533:Q917534 JC917533:JM917534 SY917533:TI917534 ACU917533:ADE917534 AMQ917533:ANA917534 AWM917533:AWW917534 BGI917533:BGS917534 BQE917533:BQO917534 CAA917533:CAK917534 CJW917533:CKG917534 CTS917533:CUC917534 DDO917533:DDY917534 DNK917533:DNU917534 DXG917533:DXQ917534 EHC917533:EHM917534 EQY917533:ERI917534 FAU917533:FBE917534 FKQ917533:FLA917534 FUM917533:FUW917534 GEI917533:GES917534 GOE917533:GOO917534 GYA917533:GYK917534 HHW917533:HIG917534 HRS917533:HSC917534 IBO917533:IBY917534 ILK917533:ILU917534 IVG917533:IVQ917534 JFC917533:JFM917534 JOY917533:JPI917534 JYU917533:JZE917534 KIQ917533:KJA917534 KSM917533:KSW917534 LCI917533:LCS917534 LME917533:LMO917534 LWA917533:LWK917534 MFW917533:MGG917534 MPS917533:MQC917534 MZO917533:MZY917534 NJK917533:NJU917534 NTG917533:NTQ917534 ODC917533:ODM917534 OMY917533:ONI917534 OWU917533:OXE917534 PGQ917533:PHA917534 PQM917533:PQW917534 QAI917533:QAS917534 QKE917533:QKO917534 QUA917533:QUK917534 RDW917533:REG917534 RNS917533:ROC917534 RXO917533:RXY917534 SHK917533:SHU917534 SRG917533:SRQ917534 TBC917533:TBM917534 TKY917533:TLI917534 TUU917533:TVE917534 UEQ917533:UFA917534 UOM917533:UOW917534 UYI917533:UYS917534 VIE917533:VIO917534 VSA917533:VSK917534 WBW917533:WCG917534 WLS917533:WMC917534 WVO917533:WVY917534 G983069:Q983070 JC983069:JM983070 SY983069:TI983070 ACU983069:ADE983070 AMQ983069:ANA983070 AWM983069:AWW983070 BGI983069:BGS983070 BQE983069:BQO983070 CAA983069:CAK983070 CJW983069:CKG983070 CTS983069:CUC983070 DDO983069:DDY983070 DNK983069:DNU983070 DXG983069:DXQ983070 EHC983069:EHM983070 EQY983069:ERI983070 FAU983069:FBE983070 FKQ983069:FLA983070 FUM983069:FUW983070 GEI983069:GES983070 GOE983069:GOO983070 GYA983069:GYK983070 HHW983069:HIG983070 HRS983069:HSC983070 IBO983069:IBY983070 ILK983069:ILU983070 IVG983069:IVQ983070 JFC983069:JFM983070 JOY983069:JPI983070 JYU983069:JZE983070 KIQ983069:KJA983070 KSM983069:KSW983070 LCI983069:LCS983070 LME983069:LMO983070 LWA983069:LWK983070 MFW983069:MGG983070 MPS983069:MQC983070 MZO983069:MZY983070 NJK983069:NJU983070 NTG983069:NTQ983070 ODC983069:ODM983070 OMY983069:ONI983070 OWU983069:OXE983070 PGQ983069:PHA983070 PQM983069:PQW983070 QAI983069:QAS983070 QKE983069:QKO983070 QUA983069:QUK983070 RDW983069:REG983070 RNS983069:ROC983070 RXO983069:RXY983070 SHK983069:SHU983070 SRG983069:SRQ983070 TBC983069:TBM983070 TKY983069:TLI983070 TUU983069:TVE983070 UEQ983069:UFA983070 UOM983069:UOW983070 UYI983069:UYS983070 VIE983069:VIO983070 VSA983069:VSK983070 WBW983069:WCG983070 WLS983069:WMC983070 WVO983069:WVY983070 H10:Q13 JD10:JM13 SZ10:TI13 ACV10:ADE13 AMR10:ANA13 AWN10:AWW13 BGJ10:BGS13 BQF10:BQO13 CAB10:CAK13 CJX10:CKG13 CTT10:CUC13 DDP10:DDY13 DNL10:DNU13 DXH10:DXQ13 EHD10:EHM13 EQZ10:ERI13 FAV10:FBE13 FKR10:FLA13 FUN10:FUW13 GEJ10:GES13 GOF10:GOO13 GYB10:GYK13 HHX10:HIG13 HRT10:HSC13 IBP10:IBY13 ILL10:ILU13 IVH10:IVQ13 JFD10:JFM13 JOZ10:JPI13 JYV10:JZE13 KIR10:KJA13 KSN10:KSW13 LCJ10:LCS13 LMF10:LMO13 LWB10:LWK13 MFX10:MGG13 MPT10:MQC13 MZP10:MZY13 NJL10:NJU13 NTH10:NTQ13 ODD10:ODM13 OMZ10:ONI13 OWV10:OXE13 PGR10:PHA13 PQN10:PQW13 QAJ10:QAS13 QKF10:QKO13 QUB10:QUK13 RDX10:REG13 RNT10:ROC13 RXP10:RXY13 SHL10:SHU13 SRH10:SRQ13 TBD10:TBM13 TKZ10:TLI13 TUV10:TVE13 UER10:UFA13 UON10:UOW13 UYJ10:UYS13 VIF10:VIO13 VSB10:VSK13 WBX10:WCG13 WLT10:WMC13 WVP10:WVY13 H65482:Q65485 JD65482:JM65485 SZ65482:TI65485 ACV65482:ADE65485 AMR65482:ANA65485 AWN65482:AWW65485 BGJ65482:BGS65485 BQF65482:BQO65485 CAB65482:CAK65485 CJX65482:CKG65485 CTT65482:CUC65485 DDP65482:DDY65485 DNL65482:DNU65485 DXH65482:DXQ65485 EHD65482:EHM65485 EQZ65482:ERI65485 FAV65482:FBE65485 FKR65482:FLA65485 FUN65482:FUW65485 GEJ65482:GES65485 GOF65482:GOO65485 GYB65482:GYK65485 HHX65482:HIG65485 HRT65482:HSC65485 IBP65482:IBY65485 ILL65482:ILU65485 IVH65482:IVQ65485 JFD65482:JFM65485 JOZ65482:JPI65485 JYV65482:JZE65485 KIR65482:KJA65485 KSN65482:KSW65485 LCJ65482:LCS65485 LMF65482:LMO65485 LWB65482:LWK65485 MFX65482:MGG65485 MPT65482:MQC65485 MZP65482:MZY65485 NJL65482:NJU65485 NTH65482:NTQ65485 ODD65482:ODM65485 OMZ65482:ONI65485 OWV65482:OXE65485 PGR65482:PHA65485 PQN65482:PQW65485 QAJ65482:QAS65485 QKF65482:QKO65485 QUB65482:QUK65485 RDX65482:REG65485 RNT65482:ROC65485 RXP65482:RXY65485 SHL65482:SHU65485 SRH65482:SRQ65485 TBD65482:TBM65485 TKZ65482:TLI65485 TUV65482:TVE65485 UER65482:UFA65485 UON65482:UOW65485 UYJ65482:UYS65485 VIF65482:VIO65485 VSB65482:VSK65485 WBX65482:WCG65485 WLT65482:WMC65485 WVP65482:WVY65485 H131018:Q131021 JD131018:JM131021 SZ131018:TI131021 ACV131018:ADE131021 AMR131018:ANA131021 AWN131018:AWW131021 BGJ131018:BGS131021 BQF131018:BQO131021 CAB131018:CAK131021 CJX131018:CKG131021 CTT131018:CUC131021 DDP131018:DDY131021 DNL131018:DNU131021 DXH131018:DXQ131021 EHD131018:EHM131021 EQZ131018:ERI131021 FAV131018:FBE131021 FKR131018:FLA131021 FUN131018:FUW131021 GEJ131018:GES131021 GOF131018:GOO131021 GYB131018:GYK131021 HHX131018:HIG131021 HRT131018:HSC131021 IBP131018:IBY131021 ILL131018:ILU131021 IVH131018:IVQ131021 JFD131018:JFM131021 JOZ131018:JPI131021 JYV131018:JZE131021 KIR131018:KJA131021 KSN131018:KSW131021 LCJ131018:LCS131021 LMF131018:LMO131021 LWB131018:LWK131021 MFX131018:MGG131021 MPT131018:MQC131021 MZP131018:MZY131021 NJL131018:NJU131021 NTH131018:NTQ131021 ODD131018:ODM131021 OMZ131018:ONI131021 OWV131018:OXE131021 PGR131018:PHA131021 PQN131018:PQW131021 QAJ131018:QAS131021 QKF131018:QKO131021 QUB131018:QUK131021 RDX131018:REG131021 RNT131018:ROC131021 RXP131018:RXY131021 SHL131018:SHU131021 SRH131018:SRQ131021 TBD131018:TBM131021 TKZ131018:TLI131021 TUV131018:TVE131021 UER131018:UFA131021 UON131018:UOW131021 UYJ131018:UYS131021 VIF131018:VIO131021 VSB131018:VSK131021 WBX131018:WCG131021 WLT131018:WMC131021 WVP131018:WVY131021 H196554:Q196557 JD196554:JM196557 SZ196554:TI196557 ACV196554:ADE196557 AMR196554:ANA196557 AWN196554:AWW196557 BGJ196554:BGS196557 BQF196554:BQO196557 CAB196554:CAK196557 CJX196554:CKG196557 CTT196554:CUC196557 DDP196554:DDY196557 DNL196554:DNU196557 DXH196554:DXQ196557 EHD196554:EHM196557 EQZ196554:ERI196557 FAV196554:FBE196557 FKR196554:FLA196557 FUN196554:FUW196557 GEJ196554:GES196557 GOF196554:GOO196557 GYB196554:GYK196557 HHX196554:HIG196557 HRT196554:HSC196557 IBP196554:IBY196557 ILL196554:ILU196557 IVH196554:IVQ196557 JFD196554:JFM196557 JOZ196554:JPI196557 JYV196554:JZE196557 KIR196554:KJA196557 KSN196554:KSW196557 LCJ196554:LCS196557 LMF196554:LMO196557 LWB196554:LWK196557 MFX196554:MGG196557 MPT196554:MQC196557 MZP196554:MZY196557 NJL196554:NJU196557 NTH196554:NTQ196557 ODD196554:ODM196557 OMZ196554:ONI196557 OWV196554:OXE196557 PGR196554:PHA196557 PQN196554:PQW196557 QAJ196554:QAS196557 QKF196554:QKO196557 QUB196554:QUK196557 RDX196554:REG196557 RNT196554:ROC196557 RXP196554:RXY196557 SHL196554:SHU196557 SRH196554:SRQ196557 TBD196554:TBM196557 TKZ196554:TLI196557 TUV196554:TVE196557 UER196554:UFA196557 UON196554:UOW196557 UYJ196554:UYS196557 VIF196554:VIO196557 VSB196554:VSK196557 WBX196554:WCG196557 WLT196554:WMC196557 WVP196554:WVY196557 H262090:Q262093 JD262090:JM262093 SZ262090:TI262093 ACV262090:ADE262093 AMR262090:ANA262093 AWN262090:AWW262093 BGJ262090:BGS262093 BQF262090:BQO262093 CAB262090:CAK262093 CJX262090:CKG262093 CTT262090:CUC262093 DDP262090:DDY262093 DNL262090:DNU262093 DXH262090:DXQ262093 EHD262090:EHM262093 EQZ262090:ERI262093 FAV262090:FBE262093 FKR262090:FLA262093 FUN262090:FUW262093 GEJ262090:GES262093 GOF262090:GOO262093 GYB262090:GYK262093 HHX262090:HIG262093 HRT262090:HSC262093 IBP262090:IBY262093 ILL262090:ILU262093 IVH262090:IVQ262093 JFD262090:JFM262093 JOZ262090:JPI262093 JYV262090:JZE262093 KIR262090:KJA262093 KSN262090:KSW262093 LCJ262090:LCS262093 LMF262090:LMO262093 LWB262090:LWK262093 MFX262090:MGG262093 MPT262090:MQC262093 MZP262090:MZY262093 NJL262090:NJU262093 NTH262090:NTQ262093 ODD262090:ODM262093 OMZ262090:ONI262093 OWV262090:OXE262093 PGR262090:PHA262093 PQN262090:PQW262093 QAJ262090:QAS262093 QKF262090:QKO262093 QUB262090:QUK262093 RDX262090:REG262093 RNT262090:ROC262093 RXP262090:RXY262093 SHL262090:SHU262093 SRH262090:SRQ262093 TBD262090:TBM262093 TKZ262090:TLI262093 TUV262090:TVE262093 UER262090:UFA262093 UON262090:UOW262093 UYJ262090:UYS262093 VIF262090:VIO262093 VSB262090:VSK262093 WBX262090:WCG262093 WLT262090:WMC262093 WVP262090:WVY262093 H327626:Q327629 JD327626:JM327629 SZ327626:TI327629 ACV327626:ADE327629 AMR327626:ANA327629 AWN327626:AWW327629 BGJ327626:BGS327629 BQF327626:BQO327629 CAB327626:CAK327629 CJX327626:CKG327629 CTT327626:CUC327629 DDP327626:DDY327629 DNL327626:DNU327629 DXH327626:DXQ327629 EHD327626:EHM327629 EQZ327626:ERI327629 FAV327626:FBE327629 FKR327626:FLA327629 FUN327626:FUW327629 GEJ327626:GES327629 GOF327626:GOO327629 GYB327626:GYK327629 HHX327626:HIG327629 HRT327626:HSC327629 IBP327626:IBY327629 ILL327626:ILU327629 IVH327626:IVQ327629 JFD327626:JFM327629 JOZ327626:JPI327629 JYV327626:JZE327629 KIR327626:KJA327629 KSN327626:KSW327629 LCJ327626:LCS327629 LMF327626:LMO327629 LWB327626:LWK327629 MFX327626:MGG327629 MPT327626:MQC327629 MZP327626:MZY327629 NJL327626:NJU327629 NTH327626:NTQ327629 ODD327626:ODM327629 OMZ327626:ONI327629 OWV327626:OXE327629 PGR327626:PHA327629 PQN327626:PQW327629 QAJ327626:QAS327629 QKF327626:QKO327629 QUB327626:QUK327629 RDX327626:REG327629 RNT327626:ROC327629 RXP327626:RXY327629 SHL327626:SHU327629 SRH327626:SRQ327629 TBD327626:TBM327629 TKZ327626:TLI327629 TUV327626:TVE327629 UER327626:UFA327629 UON327626:UOW327629 UYJ327626:UYS327629 VIF327626:VIO327629 VSB327626:VSK327629 WBX327626:WCG327629 WLT327626:WMC327629 WVP327626:WVY327629 H393162:Q393165 JD393162:JM393165 SZ393162:TI393165 ACV393162:ADE393165 AMR393162:ANA393165 AWN393162:AWW393165 BGJ393162:BGS393165 BQF393162:BQO393165 CAB393162:CAK393165 CJX393162:CKG393165 CTT393162:CUC393165 DDP393162:DDY393165 DNL393162:DNU393165 DXH393162:DXQ393165 EHD393162:EHM393165 EQZ393162:ERI393165 FAV393162:FBE393165 FKR393162:FLA393165 FUN393162:FUW393165 GEJ393162:GES393165 GOF393162:GOO393165 GYB393162:GYK393165 HHX393162:HIG393165 HRT393162:HSC393165 IBP393162:IBY393165 ILL393162:ILU393165 IVH393162:IVQ393165 JFD393162:JFM393165 JOZ393162:JPI393165 JYV393162:JZE393165 KIR393162:KJA393165 KSN393162:KSW393165 LCJ393162:LCS393165 LMF393162:LMO393165 LWB393162:LWK393165 MFX393162:MGG393165 MPT393162:MQC393165 MZP393162:MZY393165 NJL393162:NJU393165 NTH393162:NTQ393165 ODD393162:ODM393165 OMZ393162:ONI393165 OWV393162:OXE393165 PGR393162:PHA393165 PQN393162:PQW393165 QAJ393162:QAS393165 QKF393162:QKO393165 QUB393162:QUK393165 RDX393162:REG393165 RNT393162:ROC393165 RXP393162:RXY393165 SHL393162:SHU393165 SRH393162:SRQ393165 TBD393162:TBM393165 TKZ393162:TLI393165 TUV393162:TVE393165 UER393162:UFA393165 UON393162:UOW393165 UYJ393162:UYS393165 VIF393162:VIO393165 VSB393162:VSK393165 WBX393162:WCG393165 WLT393162:WMC393165 WVP393162:WVY393165 H458698:Q458701 JD458698:JM458701 SZ458698:TI458701 ACV458698:ADE458701 AMR458698:ANA458701 AWN458698:AWW458701 BGJ458698:BGS458701 BQF458698:BQO458701 CAB458698:CAK458701 CJX458698:CKG458701 CTT458698:CUC458701 DDP458698:DDY458701 DNL458698:DNU458701 DXH458698:DXQ458701 EHD458698:EHM458701 EQZ458698:ERI458701 FAV458698:FBE458701 FKR458698:FLA458701 FUN458698:FUW458701 GEJ458698:GES458701 GOF458698:GOO458701 GYB458698:GYK458701 HHX458698:HIG458701 HRT458698:HSC458701 IBP458698:IBY458701 ILL458698:ILU458701 IVH458698:IVQ458701 JFD458698:JFM458701 JOZ458698:JPI458701 JYV458698:JZE458701 KIR458698:KJA458701 KSN458698:KSW458701 LCJ458698:LCS458701 LMF458698:LMO458701 LWB458698:LWK458701 MFX458698:MGG458701 MPT458698:MQC458701 MZP458698:MZY458701 NJL458698:NJU458701 NTH458698:NTQ458701 ODD458698:ODM458701 OMZ458698:ONI458701 OWV458698:OXE458701 PGR458698:PHA458701 PQN458698:PQW458701 QAJ458698:QAS458701 QKF458698:QKO458701 QUB458698:QUK458701 RDX458698:REG458701 RNT458698:ROC458701 RXP458698:RXY458701 SHL458698:SHU458701 SRH458698:SRQ458701 TBD458698:TBM458701 TKZ458698:TLI458701 TUV458698:TVE458701 UER458698:UFA458701 UON458698:UOW458701 UYJ458698:UYS458701 VIF458698:VIO458701 VSB458698:VSK458701 WBX458698:WCG458701 WLT458698:WMC458701 WVP458698:WVY458701 H524234:Q524237 JD524234:JM524237 SZ524234:TI524237 ACV524234:ADE524237 AMR524234:ANA524237 AWN524234:AWW524237 BGJ524234:BGS524237 BQF524234:BQO524237 CAB524234:CAK524237 CJX524234:CKG524237 CTT524234:CUC524237 DDP524234:DDY524237 DNL524234:DNU524237 DXH524234:DXQ524237 EHD524234:EHM524237 EQZ524234:ERI524237 FAV524234:FBE524237 FKR524234:FLA524237 FUN524234:FUW524237 GEJ524234:GES524237 GOF524234:GOO524237 GYB524234:GYK524237 HHX524234:HIG524237 HRT524234:HSC524237 IBP524234:IBY524237 ILL524234:ILU524237 IVH524234:IVQ524237 JFD524234:JFM524237 JOZ524234:JPI524237 JYV524234:JZE524237 KIR524234:KJA524237 KSN524234:KSW524237 LCJ524234:LCS524237 LMF524234:LMO524237 LWB524234:LWK524237 MFX524234:MGG524237 MPT524234:MQC524237 MZP524234:MZY524237 NJL524234:NJU524237 NTH524234:NTQ524237 ODD524234:ODM524237 OMZ524234:ONI524237 OWV524234:OXE524237 PGR524234:PHA524237 PQN524234:PQW524237 QAJ524234:QAS524237 QKF524234:QKO524237 QUB524234:QUK524237 RDX524234:REG524237 RNT524234:ROC524237 RXP524234:RXY524237 SHL524234:SHU524237 SRH524234:SRQ524237 TBD524234:TBM524237 TKZ524234:TLI524237 TUV524234:TVE524237 UER524234:UFA524237 UON524234:UOW524237 UYJ524234:UYS524237 VIF524234:VIO524237 VSB524234:VSK524237 WBX524234:WCG524237 WLT524234:WMC524237 WVP524234:WVY524237 H589770:Q589773 JD589770:JM589773 SZ589770:TI589773 ACV589770:ADE589773 AMR589770:ANA589773 AWN589770:AWW589773 BGJ589770:BGS589773 BQF589770:BQO589773 CAB589770:CAK589773 CJX589770:CKG589773 CTT589770:CUC589773 DDP589770:DDY589773 DNL589770:DNU589773 DXH589770:DXQ589773 EHD589770:EHM589773 EQZ589770:ERI589773 FAV589770:FBE589773 FKR589770:FLA589773 FUN589770:FUW589773 GEJ589770:GES589773 GOF589770:GOO589773 GYB589770:GYK589773 HHX589770:HIG589773 HRT589770:HSC589773 IBP589770:IBY589773 ILL589770:ILU589773 IVH589770:IVQ589773 JFD589770:JFM589773 JOZ589770:JPI589773 JYV589770:JZE589773 KIR589770:KJA589773 KSN589770:KSW589773 LCJ589770:LCS589773 LMF589770:LMO589773 LWB589770:LWK589773 MFX589770:MGG589773 MPT589770:MQC589773 MZP589770:MZY589773 NJL589770:NJU589773 NTH589770:NTQ589773 ODD589770:ODM589773 OMZ589770:ONI589773 OWV589770:OXE589773 PGR589770:PHA589773 PQN589770:PQW589773 QAJ589770:QAS589773 QKF589770:QKO589773 QUB589770:QUK589773 RDX589770:REG589773 RNT589770:ROC589773 RXP589770:RXY589773 SHL589770:SHU589773 SRH589770:SRQ589773 TBD589770:TBM589773 TKZ589770:TLI589773 TUV589770:TVE589773 UER589770:UFA589773 UON589770:UOW589773 UYJ589770:UYS589773 VIF589770:VIO589773 VSB589770:VSK589773 WBX589770:WCG589773 WLT589770:WMC589773 WVP589770:WVY589773 H655306:Q655309 JD655306:JM655309 SZ655306:TI655309 ACV655306:ADE655309 AMR655306:ANA655309 AWN655306:AWW655309 BGJ655306:BGS655309 BQF655306:BQO655309 CAB655306:CAK655309 CJX655306:CKG655309 CTT655306:CUC655309 DDP655306:DDY655309 DNL655306:DNU655309 DXH655306:DXQ655309 EHD655306:EHM655309 EQZ655306:ERI655309 FAV655306:FBE655309 FKR655306:FLA655309 FUN655306:FUW655309 GEJ655306:GES655309 GOF655306:GOO655309 GYB655306:GYK655309 HHX655306:HIG655309 HRT655306:HSC655309 IBP655306:IBY655309 ILL655306:ILU655309 IVH655306:IVQ655309 JFD655306:JFM655309 JOZ655306:JPI655309 JYV655306:JZE655309 KIR655306:KJA655309 KSN655306:KSW655309 LCJ655306:LCS655309 LMF655306:LMO655309 LWB655306:LWK655309 MFX655306:MGG655309 MPT655306:MQC655309 MZP655306:MZY655309 NJL655306:NJU655309 NTH655306:NTQ655309 ODD655306:ODM655309 OMZ655306:ONI655309 OWV655306:OXE655309 PGR655306:PHA655309 PQN655306:PQW655309 QAJ655306:QAS655309 QKF655306:QKO655309 QUB655306:QUK655309 RDX655306:REG655309 RNT655306:ROC655309 RXP655306:RXY655309 SHL655306:SHU655309 SRH655306:SRQ655309 TBD655306:TBM655309 TKZ655306:TLI655309 TUV655306:TVE655309 UER655306:UFA655309 UON655306:UOW655309 UYJ655306:UYS655309 VIF655306:VIO655309 VSB655306:VSK655309 WBX655306:WCG655309 WLT655306:WMC655309 WVP655306:WVY655309 H720842:Q720845 JD720842:JM720845 SZ720842:TI720845 ACV720842:ADE720845 AMR720842:ANA720845 AWN720842:AWW720845 BGJ720842:BGS720845 BQF720842:BQO720845 CAB720842:CAK720845 CJX720842:CKG720845 CTT720842:CUC720845 DDP720842:DDY720845 DNL720842:DNU720845 DXH720842:DXQ720845 EHD720842:EHM720845 EQZ720842:ERI720845 FAV720842:FBE720845 FKR720842:FLA720845 FUN720842:FUW720845 GEJ720842:GES720845 GOF720842:GOO720845 GYB720842:GYK720845 HHX720842:HIG720845 HRT720842:HSC720845 IBP720842:IBY720845 ILL720842:ILU720845 IVH720842:IVQ720845 JFD720842:JFM720845 JOZ720842:JPI720845 JYV720842:JZE720845 KIR720842:KJA720845 KSN720842:KSW720845 LCJ720842:LCS720845 LMF720842:LMO720845 LWB720842:LWK720845 MFX720842:MGG720845 MPT720842:MQC720845 MZP720842:MZY720845 NJL720842:NJU720845 NTH720842:NTQ720845 ODD720842:ODM720845 OMZ720842:ONI720845 OWV720842:OXE720845 PGR720842:PHA720845 PQN720842:PQW720845 QAJ720842:QAS720845 QKF720842:QKO720845 QUB720842:QUK720845 RDX720842:REG720845 RNT720842:ROC720845 RXP720842:RXY720845 SHL720842:SHU720845 SRH720842:SRQ720845 TBD720842:TBM720845 TKZ720842:TLI720845 TUV720842:TVE720845 UER720842:UFA720845 UON720842:UOW720845 UYJ720842:UYS720845 VIF720842:VIO720845 VSB720842:VSK720845 WBX720842:WCG720845 WLT720842:WMC720845 WVP720842:WVY720845 H786378:Q786381 JD786378:JM786381 SZ786378:TI786381 ACV786378:ADE786381 AMR786378:ANA786381 AWN786378:AWW786381 BGJ786378:BGS786381 BQF786378:BQO786381 CAB786378:CAK786381 CJX786378:CKG786381 CTT786378:CUC786381 DDP786378:DDY786381 DNL786378:DNU786381 DXH786378:DXQ786381 EHD786378:EHM786381 EQZ786378:ERI786381 FAV786378:FBE786381 FKR786378:FLA786381 FUN786378:FUW786381 GEJ786378:GES786381 GOF786378:GOO786381 GYB786378:GYK786381 HHX786378:HIG786381 HRT786378:HSC786381 IBP786378:IBY786381 ILL786378:ILU786381 IVH786378:IVQ786381 JFD786378:JFM786381 JOZ786378:JPI786381 JYV786378:JZE786381 KIR786378:KJA786381 KSN786378:KSW786381 LCJ786378:LCS786381 LMF786378:LMO786381 LWB786378:LWK786381 MFX786378:MGG786381 MPT786378:MQC786381 MZP786378:MZY786381 NJL786378:NJU786381 NTH786378:NTQ786381 ODD786378:ODM786381 OMZ786378:ONI786381 OWV786378:OXE786381 PGR786378:PHA786381 PQN786378:PQW786381 QAJ786378:QAS786381 QKF786378:QKO786381 QUB786378:QUK786381 RDX786378:REG786381 RNT786378:ROC786381 RXP786378:RXY786381 SHL786378:SHU786381 SRH786378:SRQ786381 TBD786378:TBM786381 TKZ786378:TLI786381 TUV786378:TVE786381 UER786378:UFA786381 UON786378:UOW786381 UYJ786378:UYS786381 VIF786378:VIO786381 VSB786378:VSK786381 WBX786378:WCG786381 WLT786378:WMC786381 WVP786378:WVY786381 H851914:Q851917 JD851914:JM851917 SZ851914:TI851917 ACV851914:ADE851917 AMR851914:ANA851917 AWN851914:AWW851917 BGJ851914:BGS851917 BQF851914:BQO851917 CAB851914:CAK851917 CJX851914:CKG851917 CTT851914:CUC851917 DDP851914:DDY851917 DNL851914:DNU851917 DXH851914:DXQ851917 EHD851914:EHM851917 EQZ851914:ERI851917 FAV851914:FBE851917 FKR851914:FLA851917 FUN851914:FUW851917 GEJ851914:GES851917 GOF851914:GOO851917 GYB851914:GYK851917 HHX851914:HIG851917 HRT851914:HSC851917 IBP851914:IBY851917 ILL851914:ILU851917 IVH851914:IVQ851917 JFD851914:JFM851917 JOZ851914:JPI851917 JYV851914:JZE851917 KIR851914:KJA851917 KSN851914:KSW851917 LCJ851914:LCS851917 LMF851914:LMO851917 LWB851914:LWK851917 MFX851914:MGG851917 MPT851914:MQC851917 MZP851914:MZY851917 NJL851914:NJU851917 NTH851914:NTQ851917 ODD851914:ODM851917 OMZ851914:ONI851917 OWV851914:OXE851917 PGR851914:PHA851917 PQN851914:PQW851917 QAJ851914:QAS851917 QKF851914:QKO851917 QUB851914:QUK851917 RDX851914:REG851917 RNT851914:ROC851917 RXP851914:RXY851917 SHL851914:SHU851917 SRH851914:SRQ851917 TBD851914:TBM851917 TKZ851914:TLI851917 TUV851914:TVE851917 UER851914:UFA851917 UON851914:UOW851917 UYJ851914:UYS851917 VIF851914:VIO851917 VSB851914:VSK851917 WBX851914:WCG851917 WLT851914:WMC851917 WVP851914:WVY851917 H917450:Q917453 JD917450:JM917453 SZ917450:TI917453 ACV917450:ADE917453 AMR917450:ANA917453 AWN917450:AWW917453 BGJ917450:BGS917453 BQF917450:BQO917453 CAB917450:CAK917453 CJX917450:CKG917453 CTT917450:CUC917453 DDP917450:DDY917453 DNL917450:DNU917453 DXH917450:DXQ917453 EHD917450:EHM917453 EQZ917450:ERI917453 FAV917450:FBE917453 FKR917450:FLA917453 FUN917450:FUW917453 GEJ917450:GES917453 GOF917450:GOO917453 GYB917450:GYK917453 HHX917450:HIG917453 HRT917450:HSC917453 IBP917450:IBY917453 ILL917450:ILU917453 IVH917450:IVQ917453 JFD917450:JFM917453 JOZ917450:JPI917453 JYV917450:JZE917453 KIR917450:KJA917453 KSN917450:KSW917453 LCJ917450:LCS917453 LMF917450:LMO917453 LWB917450:LWK917453 MFX917450:MGG917453 MPT917450:MQC917453 MZP917450:MZY917453 NJL917450:NJU917453 NTH917450:NTQ917453 ODD917450:ODM917453 OMZ917450:ONI917453 OWV917450:OXE917453 PGR917450:PHA917453 PQN917450:PQW917453 QAJ917450:QAS917453 QKF917450:QKO917453 QUB917450:QUK917453 RDX917450:REG917453 RNT917450:ROC917453 RXP917450:RXY917453 SHL917450:SHU917453 SRH917450:SRQ917453 TBD917450:TBM917453 TKZ917450:TLI917453 TUV917450:TVE917453 UER917450:UFA917453 UON917450:UOW917453 UYJ917450:UYS917453 VIF917450:VIO917453 VSB917450:VSK917453 WBX917450:WCG917453 WLT917450:WMC917453 WVP917450:WVY917453 H982986:Q982989 JD982986:JM982989 SZ982986:TI982989 ACV982986:ADE982989 AMR982986:ANA982989 AWN982986:AWW982989 BGJ982986:BGS982989 BQF982986:BQO982989 CAB982986:CAK982989 CJX982986:CKG982989 CTT982986:CUC982989 DDP982986:DDY982989 DNL982986:DNU982989 DXH982986:DXQ982989 EHD982986:EHM982989 EQZ982986:ERI982989 FAV982986:FBE982989 FKR982986:FLA982989 FUN982986:FUW982989 GEJ982986:GES982989 GOF982986:GOO982989 GYB982986:GYK982989 HHX982986:HIG982989 HRT982986:HSC982989 IBP982986:IBY982989 ILL982986:ILU982989 IVH982986:IVQ982989 JFD982986:JFM982989 JOZ982986:JPI982989 JYV982986:JZE982989 KIR982986:KJA982989 KSN982986:KSW982989 LCJ982986:LCS982989 LMF982986:LMO982989 LWB982986:LWK982989 MFX982986:MGG982989 MPT982986:MQC982989 MZP982986:MZY982989 NJL982986:NJU982989 NTH982986:NTQ982989 ODD982986:ODM982989 OMZ982986:ONI982989 OWV982986:OXE982989 PGR982986:PHA982989 PQN982986:PQW982989 QAJ982986:QAS982989 QKF982986:QKO982989 QUB982986:QUK982989 RDX982986:REG982989 RNT982986:ROC982989 RXP982986:RXY982989 SHL982986:SHU982989 SRH982986:SRQ982989 TBD982986:TBM982989 TKZ982986:TLI982989 TUV982986:TVE982989 UER982986:UFA982989 UON982986:UOW982989 UYJ982986:UYS982989 VIF982986:VIO982989 VSB982986:VSK982989 WBX982986:WCG982989 WLT982986:WMC982989 WVP982986:WVY982989 G7:Q8 JC7:JM8 SY7:TI8 ACU7:ADE8 AMQ7:ANA8 AWM7:AWW8 BGI7:BGS8 BQE7:BQO8 CAA7:CAK8 CJW7:CKG8 CTS7:CUC8 DDO7:DDY8 DNK7:DNU8 DXG7:DXQ8 EHC7:EHM8 EQY7:ERI8 FAU7:FBE8 FKQ7:FLA8 FUM7:FUW8 GEI7:GES8 GOE7:GOO8 GYA7:GYK8 HHW7:HIG8 HRS7:HSC8 IBO7:IBY8 ILK7:ILU8 IVG7:IVQ8 JFC7:JFM8 JOY7:JPI8 JYU7:JZE8 KIQ7:KJA8 KSM7:KSW8 LCI7:LCS8 LME7:LMO8 LWA7:LWK8 MFW7:MGG8 MPS7:MQC8 MZO7:MZY8 NJK7:NJU8 NTG7:NTQ8 ODC7:ODM8 OMY7:ONI8 OWU7:OXE8 PGQ7:PHA8 PQM7:PQW8 QAI7:QAS8 QKE7:QKO8 QUA7:QUK8 RDW7:REG8 RNS7:ROC8 RXO7:RXY8 SHK7:SHU8 SRG7:SRQ8 TBC7:TBM8 TKY7:TLI8 TUU7:TVE8 UEQ7:UFA8 UOM7:UOW8 UYI7:UYS8 VIE7:VIO8 VSA7:VSK8 WBW7:WCG8 WLS7:WMC8 WVO7:WVY8 G65479:Q65480 JC65479:JM65480 SY65479:TI65480 ACU65479:ADE65480 AMQ65479:ANA65480 AWM65479:AWW65480 BGI65479:BGS65480 BQE65479:BQO65480 CAA65479:CAK65480 CJW65479:CKG65480 CTS65479:CUC65480 DDO65479:DDY65480 DNK65479:DNU65480 DXG65479:DXQ65480 EHC65479:EHM65480 EQY65479:ERI65480 FAU65479:FBE65480 FKQ65479:FLA65480 FUM65479:FUW65480 GEI65479:GES65480 GOE65479:GOO65480 GYA65479:GYK65480 HHW65479:HIG65480 HRS65479:HSC65480 IBO65479:IBY65480 ILK65479:ILU65480 IVG65479:IVQ65480 JFC65479:JFM65480 JOY65479:JPI65480 JYU65479:JZE65480 KIQ65479:KJA65480 KSM65479:KSW65480 LCI65479:LCS65480 LME65479:LMO65480 LWA65479:LWK65480 MFW65479:MGG65480 MPS65479:MQC65480 MZO65479:MZY65480 NJK65479:NJU65480 NTG65479:NTQ65480 ODC65479:ODM65480 OMY65479:ONI65480 OWU65479:OXE65480 PGQ65479:PHA65480 PQM65479:PQW65480 QAI65479:QAS65480 QKE65479:QKO65480 QUA65479:QUK65480 RDW65479:REG65480 RNS65479:ROC65480 RXO65479:RXY65480 SHK65479:SHU65480 SRG65479:SRQ65480 TBC65479:TBM65480 TKY65479:TLI65480 TUU65479:TVE65480 UEQ65479:UFA65480 UOM65479:UOW65480 UYI65479:UYS65480 VIE65479:VIO65480 VSA65479:VSK65480 WBW65479:WCG65480 WLS65479:WMC65480 WVO65479:WVY65480 G131015:Q131016 JC131015:JM131016 SY131015:TI131016 ACU131015:ADE131016 AMQ131015:ANA131016 AWM131015:AWW131016 BGI131015:BGS131016 BQE131015:BQO131016 CAA131015:CAK131016 CJW131015:CKG131016 CTS131015:CUC131016 DDO131015:DDY131016 DNK131015:DNU131016 DXG131015:DXQ131016 EHC131015:EHM131016 EQY131015:ERI131016 FAU131015:FBE131016 FKQ131015:FLA131016 FUM131015:FUW131016 GEI131015:GES131016 GOE131015:GOO131016 GYA131015:GYK131016 HHW131015:HIG131016 HRS131015:HSC131016 IBO131015:IBY131016 ILK131015:ILU131016 IVG131015:IVQ131016 JFC131015:JFM131016 JOY131015:JPI131016 JYU131015:JZE131016 KIQ131015:KJA131016 KSM131015:KSW131016 LCI131015:LCS131016 LME131015:LMO131016 LWA131015:LWK131016 MFW131015:MGG131016 MPS131015:MQC131016 MZO131015:MZY131016 NJK131015:NJU131016 NTG131015:NTQ131016 ODC131015:ODM131016 OMY131015:ONI131016 OWU131015:OXE131016 PGQ131015:PHA131016 PQM131015:PQW131016 QAI131015:QAS131016 QKE131015:QKO131016 QUA131015:QUK131016 RDW131015:REG131016 RNS131015:ROC131016 RXO131015:RXY131016 SHK131015:SHU131016 SRG131015:SRQ131016 TBC131015:TBM131016 TKY131015:TLI131016 TUU131015:TVE131016 UEQ131015:UFA131016 UOM131015:UOW131016 UYI131015:UYS131016 VIE131015:VIO131016 VSA131015:VSK131016 WBW131015:WCG131016 WLS131015:WMC131016 WVO131015:WVY131016 G196551:Q196552 JC196551:JM196552 SY196551:TI196552 ACU196551:ADE196552 AMQ196551:ANA196552 AWM196551:AWW196552 BGI196551:BGS196552 BQE196551:BQO196552 CAA196551:CAK196552 CJW196551:CKG196552 CTS196551:CUC196552 DDO196551:DDY196552 DNK196551:DNU196552 DXG196551:DXQ196552 EHC196551:EHM196552 EQY196551:ERI196552 FAU196551:FBE196552 FKQ196551:FLA196552 FUM196551:FUW196552 GEI196551:GES196552 GOE196551:GOO196552 GYA196551:GYK196552 HHW196551:HIG196552 HRS196551:HSC196552 IBO196551:IBY196552 ILK196551:ILU196552 IVG196551:IVQ196552 JFC196551:JFM196552 JOY196551:JPI196552 JYU196551:JZE196552 KIQ196551:KJA196552 KSM196551:KSW196552 LCI196551:LCS196552 LME196551:LMO196552 LWA196551:LWK196552 MFW196551:MGG196552 MPS196551:MQC196552 MZO196551:MZY196552 NJK196551:NJU196552 NTG196551:NTQ196552 ODC196551:ODM196552 OMY196551:ONI196552 OWU196551:OXE196552 PGQ196551:PHA196552 PQM196551:PQW196552 QAI196551:QAS196552 QKE196551:QKO196552 QUA196551:QUK196552 RDW196551:REG196552 RNS196551:ROC196552 RXO196551:RXY196552 SHK196551:SHU196552 SRG196551:SRQ196552 TBC196551:TBM196552 TKY196551:TLI196552 TUU196551:TVE196552 UEQ196551:UFA196552 UOM196551:UOW196552 UYI196551:UYS196552 VIE196551:VIO196552 VSA196551:VSK196552 WBW196551:WCG196552 WLS196551:WMC196552 WVO196551:WVY196552 G262087:Q262088 JC262087:JM262088 SY262087:TI262088 ACU262087:ADE262088 AMQ262087:ANA262088 AWM262087:AWW262088 BGI262087:BGS262088 BQE262087:BQO262088 CAA262087:CAK262088 CJW262087:CKG262088 CTS262087:CUC262088 DDO262087:DDY262088 DNK262087:DNU262088 DXG262087:DXQ262088 EHC262087:EHM262088 EQY262087:ERI262088 FAU262087:FBE262088 FKQ262087:FLA262088 FUM262087:FUW262088 GEI262087:GES262088 GOE262087:GOO262088 GYA262087:GYK262088 HHW262087:HIG262088 HRS262087:HSC262088 IBO262087:IBY262088 ILK262087:ILU262088 IVG262087:IVQ262088 JFC262087:JFM262088 JOY262087:JPI262088 JYU262087:JZE262088 KIQ262087:KJA262088 KSM262087:KSW262088 LCI262087:LCS262088 LME262087:LMO262088 LWA262087:LWK262088 MFW262087:MGG262088 MPS262087:MQC262088 MZO262087:MZY262088 NJK262087:NJU262088 NTG262087:NTQ262088 ODC262087:ODM262088 OMY262087:ONI262088 OWU262087:OXE262088 PGQ262087:PHA262088 PQM262087:PQW262088 QAI262087:QAS262088 QKE262087:QKO262088 QUA262087:QUK262088 RDW262087:REG262088 RNS262087:ROC262088 RXO262087:RXY262088 SHK262087:SHU262088 SRG262087:SRQ262088 TBC262087:TBM262088 TKY262087:TLI262088 TUU262087:TVE262088 UEQ262087:UFA262088 UOM262087:UOW262088 UYI262087:UYS262088 VIE262087:VIO262088 VSA262087:VSK262088 WBW262087:WCG262088 WLS262087:WMC262088 WVO262087:WVY262088 G327623:Q327624 JC327623:JM327624 SY327623:TI327624 ACU327623:ADE327624 AMQ327623:ANA327624 AWM327623:AWW327624 BGI327623:BGS327624 BQE327623:BQO327624 CAA327623:CAK327624 CJW327623:CKG327624 CTS327623:CUC327624 DDO327623:DDY327624 DNK327623:DNU327624 DXG327623:DXQ327624 EHC327623:EHM327624 EQY327623:ERI327624 FAU327623:FBE327624 FKQ327623:FLA327624 FUM327623:FUW327624 GEI327623:GES327624 GOE327623:GOO327624 GYA327623:GYK327624 HHW327623:HIG327624 HRS327623:HSC327624 IBO327623:IBY327624 ILK327623:ILU327624 IVG327623:IVQ327624 JFC327623:JFM327624 JOY327623:JPI327624 JYU327623:JZE327624 KIQ327623:KJA327624 KSM327623:KSW327624 LCI327623:LCS327624 LME327623:LMO327624 LWA327623:LWK327624 MFW327623:MGG327624 MPS327623:MQC327624 MZO327623:MZY327624 NJK327623:NJU327624 NTG327623:NTQ327624 ODC327623:ODM327624 OMY327623:ONI327624 OWU327623:OXE327624 PGQ327623:PHA327624 PQM327623:PQW327624 QAI327623:QAS327624 QKE327623:QKO327624 QUA327623:QUK327624 RDW327623:REG327624 RNS327623:ROC327624 RXO327623:RXY327624 SHK327623:SHU327624 SRG327623:SRQ327624 TBC327623:TBM327624 TKY327623:TLI327624 TUU327623:TVE327624 UEQ327623:UFA327624 UOM327623:UOW327624 UYI327623:UYS327624 VIE327623:VIO327624 VSA327623:VSK327624 WBW327623:WCG327624 WLS327623:WMC327624 WVO327623:WVY327624 G393159:Q393160 JC393159:JM393160 SY393159:TI393160 ACU393159:ADE393160 AMQ393159:ANA393160 AWM393159:AWW393160 BGI393159:BGS393160 BQE393159:BQO393160 CAA393159:CAK393160 CJW393159:CKG393160 CTS393159:CUC393160 DDO393159:DDY393160 DNK393159:DNU393160 DXG393159:DXQ393160 EHC393159:EHM393160 EQY393159:ERI393160 FAU393159:FBE393160 FKQ393159:FLA393160 FUM393159:FUW393160 GEI393159:GES393160 GOE393159:GOO393160 GYA393159:GYK393160 HHW393159:HIG393160 HRS393159:HSC393160 IBO393159:IBY393160 ILK393159:ILU393160 IVG393159:IVQ393160 JFC393159:JFM393160 JOY393159:JPI393160 JYU393159:JZE393160 KIQ393159:KJA393160 KSM393159:KSW393160 LCI393159:LCS393160 LME393159:LMO393160 LWA393159:LWK393160 MFW393159:MGG393160 MPS393159:MQC393160 MZO393159:MZY393160 NJK393159:NJU393160 NTG393159:NTQ393160 ODC393159:ODM393160 OMY393159:ONI393160 OWU393159:OXE393160 PGQ393159:PHA393160 PQM393159:PQW393160 QAI393159:QAS393160 QKE393159:QKO393160 QUA393159:QUK393160 RDW393159:REG393160 RNS393159:ROC393160 RXO393159:RXY393160 SHK393159:SHU393160 SRG393159:SRQ393160 TBC393159:TBM393160 TKY393159:TLI393160 TUU393159:TVE393160 UEQ393159:UFA393160 UOM393159:UOW393160 UYI393159:UYS393160 VIE393159:VIO393160 VSA393159:VSK393160 WBW393159:WCG393160 WLS393159:WMC393160 WVO393159:WVY393160 G458695:Q458696 JC458695:JM458696 SY458695:TI458696 ACU458695:ADE458696 AMQ458695:ANA458696 AWM458695:AWW458696 BGI458695:BGS458696 BQE458695:BQO458696 CAA458695:CAK458696 CJW458695:CKG458696 CTS458695:CUC458696 DDO458695:DDY458696 DNK458695:DNU458696 DXG458695:DXQ458696 EHC458695:EHM458696 EQY458695:ERI458696 FAU458695:FBE458696 FKQ458695:FLA458696 FUM458695:FUW458696 GEI458695:GES458696 GOE458695:GOO458696 GYA458695:GYK458696 HHW458695:HIG458696 HRS458695:HSC458696 IBO458695:IBY458696 ILK458695:ILU458696 IVG458695:IVQ458696 JFC458695:JFM458696 JOY458695:JPI458696 JYU458695:JZE458696 KIQ458695:KJA458696 KSM458695:KSW458696 LCI458695:LCS458696 LME458695:LMO458696 LWA458695:LWK458696 MFW458695:MGG458696 MPS458695:MQC458696 MZO458695:MZY458696 NJK458695:NJU458696 NTG458695:NTQ458696 ODC458695:ODM458696 OMY458695:ONI458696 OWU458695:OXE458696 PGQ458695:PHA458696 PQM458695:PQW458696 QAI458695:QAS458696 QKE458695:QKO458696 QUA458695:QUK458696 RDW458695:REG458696 RNS458695:ROC458696 RXO458695:RXY458696 SHK458695:SHU458696 SRG458695:SRQ458696 TBC458695:TBM458696 TKY458695:TLI458696 TUU458695:TVE458696 UEQ458695:UFA458696 UOM458695:UOW458696 UYI458695:UYS458696 VIE458695:VIO458696 VSA458695:VSK458696 WBW458695:WCG458696 WLS458695:WMC458696 WVO458695:WVY458696 G524231:Q524232 JC524231:JM524232 SY524231:TI524232 ACU524231:ADE524232 AMQ524231:ANA524232 AWM524231:AWW524232 BGI524231:BGS524232 BQE524231:BQO524232 CAA524231:CAK524232 CJW524231:CKG524232 CTS524231:CUC524232 DDO524231:DDY524232 DNK524231:DNU524232 DXG524231:DXQ524232 EHC524231:EHM524232 EQY524231:ERI524232 FAU524231:FBE524232 FKQ524231:FLA524232 FUM524231:FUW524232 GEI524231:GES524232 GOE524231:GOO524232 GYA524231:GYK524232 HHW524231:HIG524232 HRS524231:HSC524232 IBO524231:IBY524232 ILK524231:ILU524232 IVG524231:IVQ524232 JFC524231:JFM524232 JOY524231:JPI524232 JYU524231:JZE524232 KIQ524231:KJA524232 KSM524231:KSW524232 LCI524231:LCS524232 LME524231:LMO524232 LWA524231:LWK524232 MFW524231:MGG524232 MPS524231:MQC524232 MZO524231:MZY524232 NJK524231:NJU524232 NTG524231:NTQ524232 ODC524231:ODM524232 OMY524231:ONI524232 OWU524231:OXE524232 PGQ524231:PHA524232 PQM524231:PQW524232 QAI524231:QAS524232 QKE524231:QKO524232 QUA524231:QUK524232 RDW524231:REG524232 RNS524231:ROC524232 RXO524231:RXY524232 SHK524231:SHU524232 SRG524231:SRQ524232 TBC524231:TBM524232 TKY524231:TLI524232 TUU524231:TVE524232 UEQ524231:UFA524232 UOM524231:UOW524232 UYI524231:UYS524232 VIE524231:VIO524232 VSA524231:VSK524232 WBW524231:WCG524232 WLS524231:WMC524232 WVO524231:WVY524232 G589767:Q589768 JC589767:JM589768 SY589767:TI589768 ACU589767:ADE589768 AMQ589767:ANA589768 AWM589767:AWW589768 BGI589767:BGS589768 BQE589767:BQO589768 CAA589767:CAK589768 CJW589767:CKG589768 CTS589767:CUC589768 DDO589767:DDY589768 DNK589767:DNU589768 DXG589767:DXQ589768 EHC589767:EHM589768 EQY589767:ERI589768 FAU589767:FBE589768 FKQ589767:FLA589768 FUM589767:FUW589768 GEI589767:GES589768 GOE589767:GOO589768 GYA589767:GYK589768 HHW589767:HIG589768 HRS589767:HSC589768 IBO589767:IBY589768 ILK589767:ILU589768 IVG589767:IVQ589768 JFC589767:JFM589768 JOY589767:JPI589768 JYU589767:JZE589768 KIQ589767:KJA589768 KSM589767:KSW589768 LCI589767:LCS589768 LME589767:LMO589768 LWA589767:LWK589768 MFW589767:MGG589768 MPS589767:MQC589768 MZO589767:MZY589768 NJK589767:NJU589768 NTG589767:NTQ589768 ODC589767:ODM589768 OMY589767:ONI589768 OWU589767:OXE589768 PGQ589767:PHA589768 PQM589767:PQW589768 QAI589767:QAS589768 QKE589767:QKO589768 QUA589767:QUK589768 RDW589767:REG589768 RNS589767:ROC589768 RXO589767:RXY589768 SHK589767:SHU589768 SRG589767:SRQ589768 TBC589767:TBM589768 TKY589767:TLI589768 TUU589767:TVE589768 UEQ589767:UFA589768 UOM589767:UOW589768 UYI589767:UYS589768 VIE589767:VIO589768 VSA589767:VSK589768 WBW589767:WCG589768 WLS589767:WMC589768 WVO589767:WVY589768 G655303:Q655304 JC655303:JM655304 SY655303:TI655304 ACU655303:ADE655304 AMQ655303:ANA655304 AWM655303:AWW655304 BGI655303:BGS655304 BQE655303:BQO655304 CAA655303:CAK655304 CJW655303:CKG655304 CTS655303:CUC655304 DDO655303:DDY655304 DNK655303:DNU655304 DXG655303:DXQ655304 EHC655303:EHM655304 EQY655303:ERI655304 FAU655303:FBE655304 FKQ655303:FLA655304 FUM655303:FUW655304 GEI655303:GES655304 GOE655303:GOO655304 GYA655303:GYK655304 HHW655303:HIG655304 HRS655303:HSC655304 IBO655303:IBY655304 ILK655303:ILU655304 IVG655303:IVQ655304 JFC655303:JFM655304 JOY655303:JPI655304 JYU655303:JZE655304 KIQ655303:KJA655304 KSM655303:KSW655304 LCI655303:LCS655304 LME655303:LMO655304 LWA655303:LWK655304 MFW655303:MGG655304 MPS655303:MQC655304 MZO655303:MZY655304 NJK655303:NJU655304 NTG655303:NTQ655304 ODC655303:ODM655304 OMY655303:ONI655304 OWU655303:OXE655304 PGQ655303:PHA655304 PQM655303:PQW655304 QAI655303:QAS655304 QKE655303:QKO655304 QUA655303:QUK655304 RDW655303:REG655304 RNS655303:ROC655304 RXO655303:RXY655304 SHK655303:SHU655304 SRG655303:SRQ655304 TBC655303:TBM655304 TKY655303:TLI655304 TUU655303:TVE655304 UEQ655303:UFA655304 UOM655303:UOW655304 UYI655303:UYS655304 VIE655303:VIO655304 VSA655303:VSK655304 WBW655303:WCG655304 WLS655303:WMC655304 WVO655303:WVY655304 G720839:Q720840 JC720839:JM720840 SY720839:TI720840 ACU720839:ADE720840 AMQ720839:ANA720840 AWM720839:AWW720840 BGI720839:BGS720840 BQE720839:BQO720840 CAA720839:CAK720840 CJW720839:CKG720840 CTS720839:CUC720840 DDO720839:DDY720840 DNK720839:DNU720840 DXG720839:DXQ720840 EHC720839:EHM720840 EQY720839:ERI720840 FAU720839:FBE720840 FKQ720839:FLA720840 FUM720839:FUW720840 GEI720839:GES720840 GOE720839:GOO720840 GYA720839:GYK720840 HHW720839:HIG720840 HRS720839:HSC720840 IBO720839:IBY720840 ILK720839:ILU720840 IVG720839:IVQ720840 JFC720839:JFM720840 JOY720839:JPI720840 JYU720839:JZE720840 KIQ720839:KJA720840 KSM720839:KSW720840 LCI720839:LCS720840 LME720839:LMO720840 LWA720839:LWK720840 MFW720839:MGG720840 MPS720839:MQC720840 MZO720839:MZY720840 NJK720839:NJU720840 NTG720839:NTQ720840 ODC720839:ODM720840 OMY720839:ONI720840 OWU720839:OXE720840 PGQ720839:PHA720840 PQM720839:PQW720840 QAI720839:QAS720840 QKE720839:QKO720840 QUA720839:QUK720840 RDW720839:REG720840 RNS720839:ROC720840 RXO720839:RXY720840 SHK720839:SHU720840 SRG720839:SRQ720840 TBC720839:TBM720840 TKY720839:TLI720840 TUU720839:TVE720840 UEQ720839:UFA720840 UOM720839:UOW720840 UYI720839:UYS720840 VIE720839:VIO720840 VSA720839:VSK720840 WBW720839:WCG720840 WLS720839:WMC720840 WVO720839:WVY720840 G786375:Q786376 JC786375:JM786376 SY786375:TI786376 ACU786375:ADE786376 AMQ786375:ANA786376 AWM786375:AWW786376 BGI786375:BGS786376 BQE786375:BQO786376 CAA786375:CAK786376 CJW786375:CKG786376 CTS786375:CUC786376 DDO786375:DDY786376 DNK786375:DNU786376 DXG786375:DXQ786376 EHC786375:EHM786376 EQY786375:ERI786376 FAU786375:FBE786376 FKQ786375:FLA786376 FUM786375:FUW786376 GEI786375:GES786376 GOE786375:GOO786376 GYA786375:GYK786376 HHW786375:HIG786376 HRS786375:HSC786376 IBO786375:IBY786376 ILK786375:ILU786376 IVG786375:IVQ786376 JFC786375:JFM786376 JOY786375:JPI786376 JYU786375:JZE786376 KIQ786375:KJA786376 KSM786375:KSW786376 LCI786375:LCS786376 LME786375:LMO786376 LWA786375:LWK786376 MFW786375:MGG786376 MPS786375:MQC786376 MZO786375:MZY786376 NJK786375:NJU786376 NTG786375:NTQ786376 ODC786375:ODM786376 OMY786375:ONI786376 OWU786375:OXE786376 PGQ786375:PHA786376 PQM786375:PQW786376 QAI786375:QAS786376 QKE786375:QKO786376 QUA786375:QUK786376 RDW786375:REG786376 RNS786375:ROC786376 RXO786375:RXY786376 SHK786375:SHU786376 SRG786375:SRQ786376 TBC786375:TBM786376 TKY786375:TLI786376 TUU786375:TVE786376 UEQ786375:UFA786376 UOM786375:UOW786376 UYI786375:UYS786376 VIE786375:VIO786376 VSA786375:VSK786376 WBW786375:WCG786376 WLS786375:WMC786376 WVO786375:WVY786376 G851911:Q851912 JC851911:JM851912 SY851911:TI851912 ACU851911:ADE851912 AMQ851911:ANA851912 AWM851911:AWW851912 BGI851911:BGS851912 BQE851911:BQO851912 CAA851911:CAK851912 CJW851911:CKG851912 CTS851911:CUC851912 DDO851911:DDY851912 DNK851911:DNU851912 DXG851911:DXQ851912 EHC851911:EHM851912 EQY851911:ERI851912 FAU851911:FBE851912 FKQ851911:FLA851912 FUM851911:FUW851912 GEI851911:GES851912 GOE851911:GOO851912 GYA851911:GYK851912 HHW851911:HIG851912 HRS851911:HSC851912 IBO851911:IBY851912 ILK851911:ILU851912 IVG851911:IVQ851912 JFC851911:JFM851912 JOY851911:JPI851912 JYU851911:JZE851912 KIQ851911:KJA851912 KSM851911:KSW851912 LCI851911:LCS851912 LME851911:LMO851912 LWA851911:LWK851912 MFW851911:MGG851912 MPS851911:MQC851912 MZO851911:MZY851912 NJK851911:NJU851912 NTG851911:NTQ851912 ODC851911:ODM851912 OMY851911:ONI851912 OWU851911:OXE851912 PGQ851911:PHA851912 PQM851911:PQW851912 QAI851911:QAS851912 QKE851911:QKO851912 QUA851911:QUK851912 RDW851911:REG851912 RNS851911:ROC851912 RXO851911:RXY851912 SHK851911:SHU851912 SRG851911:SRQ851912 TBC851911:TBM851912 TKY851911:TLI851912 TUU851911:TVE851912 UEQ851911:UFA851912 UOM851911:UOW851912 UYI851911:UYS851912 VIE851911:VIO851912 VSA851911:VSK851912 WBW851911:WCG851912 WLS851911:WMC851912 WVO851911:WVY851912 G917447:Q917448 JC917447:JM917448 SY917447:TI917448 ACU917447:ADE917448 AMQ917447:ANA917448 AWM917447:AWW917448 BGI917447:BGS917448 BQE917447:BQO917448 CAA917447:CAK917448 CJW917447:CKG917448 CTS917447:CUC917448 DDO917447:DDY917448 DNK917447:DNU917448 DXG917447:DXQ917448 EHC917447:EHM917448 EQY917447:ERI917448 FAU917447:FBE917448 FKQ917447:FLA917448 FUM917447:FUW917448 GEI917447:GES917448 GOE917447:GOO917448 GYA917447:GYK917448 HHW917447:HIG917448 HRS917447:HSC917448 IBO917447:IBY917448 ILK917447:ILU917448 IVG917447:IVQ917448 JFC917447:JFM917448 JOY917447:JPI917448 JYU917447:JZE917448 KIQ917447:KJA917448 KSM917447:KSW917448 LCI917447:LCS917448 LME917447:LMO917448 LWA917447:LWK917448 MFW917447:MGG917448 MPS917447:MQC917448 MZO917447:MZY917448 NJK917447:NJU917448 NTG917447:NTQ917448 ODC917447:ODM917448 OMY917447:ONI917448 OWU917447:OXE917448 PGQ917447:PHA917448 PQM917447:PQW917448 QAI917447:QAS917448 QKE917447:QKO917448 QUA917447:QUK917448 RDW917447:REG917448 RNS917447:ROC917448 RXO917447:RXY917448 SHK917447:SHU917448 SRG917447:SRQ917448 TBC917447:TBM917448 TKY917447:TLI917448 TUU917447:TVE917448 UEQ917447:UFA917448 UOM917447:UOW917448 UYI917447:UYS917448 VIE917447:VIO917448 VSA917447:VSK917448 WBW917447:WCG917448 WLS917447:WMC917448 WVO917447:WVY917448 G982983:Q982984 JC982983:JM982984 SY982983:TI982984 ACU982983:ADE982984 AMQ982983:ANA982984 AWM982983:AWW982984 BGI982983:BGS982984 BQE982983:BQO982984 CAA982983:CAK982984 CJW982983:CKG982984 CTS982983:CUC982984 DDO982983:DDY982984 DNK982983:DNU982984 DXG982983:DXQ982984 EHC982983:EHM982984 EQY982983:ERI982984 FAU982983:FBE982984 FKQ982983:FLA982984 FUM982983:FUW982984 GEI982983:GES982984 GOE982983:GOO982984 GYA982983:GYK982984 HHW982983:HIG982984 HRS982983:HSC982984 IBO982983:IBY982984 ILK982983:ILU982984 IVG982983:IVQ982984 JFC982983:JFM982984 JOY982983:JPI982984 JYU982983:JZE982984 KIQ982983:KJA982984 KSM982983:KSW982984 LCI982983:LCS982984 LME982983:LMO982984 LWA982983:LWK982984 MFW982983:MGG982984 MPS982983:MQC982984 MZO982983:MZY982984 NJK982983:NJU982984 NTG982983:NTQ982984 ODC982983:ODM982984 OMY982983:ONI982984 OWU982983:OXE982984 PGQ982983:PHA982984 PQM982983:PQW982984 QAI982983:QAS982984 QKE982983:QKO982984 QUA982983:QUK982984 RDW982983:REG982984 RNS982983:ROC982984 RXO982983:RXY982984 SHK982983:SHU982984 SRG982983:SRQ982984 TBC982983:TBM982984 TKY982983:TLI982984 TUU982983:TVE982984 UEQ982983:UFA982984 UOM982983:UOW982984 UYI982983:UYS982984 VIE982983:VIO982984 VSA982983:VSK982984 WBW982983:WCG982984 WLS982983:WMC982984 WVO982983:WVY982984 G65569:Q65571 JC65569:JM65571 SY65569:TI65571 ACU65569:ADE65571 AMQ65569:ANA65571 AWM65569:AWW65571 BGI65569:BGS65571 BQE65569:BQO65571 CAA65569:CAK65571 CJW65569:CKG65571 CTS65569:CUC65571 DDO65569:DDY65571 DNK65569:DNU65571 DXG65569:DXQ65571 EHC65569:EHM65571 EQY65569:ERI65571 FAU65569:FBE65571 FKQ65569:FLA65571 FUM65569:FUW65571 GEI65569:GES65571 GOE65569:GOO65571 GYA65569:GYK65571 HHW65569:HIG65571 HRS65569:HSC65571 IBO65569:IBY65571 ILK65569:ILU65571 IVG65569:IVQ65571 JFC65569:JFM65571 JOY65569:JPI65571 JYU65569:JZE65571 KIQ65569:KJA65571 KSM65569:KSW65571 LCI65569:LCS65571 LME65569:LMO65571 LWA65569:LWK65571 MFW65569:MGG65571 MPS65569:MQC65571 MZO65569:MZY65571 NJK65569:NJU65571 NTG65569:NTQ65571 ODC65569:ODM65571 OMY65569:ONI65571 OWU65569:OXE65571 PGQ65569:PHA65571 PQM65569:PQW65571 QAI65569:QAS65571 QKE65569:QKO65571 QUA65569:QUK65571 RDW65569:REG65571 RNS65569:ROC65571 RXO65569:RXY65571 SHK65569:SHU65571 SRG65569:SRQ65571 TBC65569:TBM65571 TKY65569:TLI65571 TUU65569:TVE65571 UEQ65569:UFA65571 UOM65569:UOW65571 UYI65569:UYS65571 VIE65569:VIO65571 VSA65569:VSK65571 WBW65569:WCG65571 WLS65569:WMC65571 WVO65569:WVY65571 G131105:Q131107 JC131105:JM131107 SY131105:TI131107 ACU131105:ADE131107 AMQ131105:ANA131107 AWM131105:AWW131107 BGI131105:BGS131107 BQE131105:BQO131107 CAA131105:CAK131107 CJW131105:CKG131107 CTS131105:CUC131107 DDO131105:DDY131107 DNK131105:DNU131107 DXG131105:DXQ131107 EHC131105:EHM131107 EQY131105:ERI131107 FAU131105:FBE131107 FKQ131105:FLA131107 FUM131105:FUW131107 GEI131105:GES131107 GOE131105:GOO131107 GYA131105:GYK131107 HHW131105:HIG131107 HRS131105:HSC131107 IBO131105:IBY131107 ILK131105:ILU131107 IVG131105:IVQ131107 JFC131105:JFM131107 JOY131105:JPI131107 JYU131105:JZE131107 KIQ131105:KJA131107 KSM131105:KSW131107 LCI131105:LCS131107 LME131105:LMO131107 LWA131105:LWK131107 MFW131105:MGG131107 MPS131105:MQC131107 MZO131105:MZY131107 NJK131105:NJU131107 NTG131105:NTQ131107 ODC131105:ODM131107 OMY131105:ONI131107 OWU131105:OXE131107 PGQ131105:PHA131107 PQM131105:PQW131107 QAI131105:QAS131107 QKE131105:QKO131107 QUA131105:QUK131107 RDW131105:REG131107 RNS131105:ROC131107 RXO131105:RXY131107 SHK131105:SHU131107 SRG131105:SRQ131107 TBC131105:TBM131107 TKY131105:TLI131107 TUU131105:TVE131107 UEQ131105:UFA131107 UOM131105:UOW131107 UYI131105:UYS131107 VIE131105:VIO131107 VSA131105:VSK131107 WBW131105:WCG131107 WLS131105:WMC131107 WVO131105:WVY131107 G196641:Q196643 JC196641:JM196643 SY196641:TI196643 ACU196641:ADE196643 AMQ196641:ANA196643 AWM196641:AWW196643 BGI196641:BGS196643 BQE196641:BQO196643 CAA196641:CAK196643 CJW196641:CKG196643 CTS196641:CUC196643 DDO196641:DDY196643 DNK196641:DNU196643 DXG196641:DXQ196643 EHC196641:EHM196643 EQY196641:ERI196643 FAU196641:FBE196643 FKQ196641:FLA196643 FUM196641:FUW196643 GEI196641:GES196643 GOE196641:GOO196643 GYA196641:GYK196643 HHW196641:HIG196643 HRS196641:HSC196643 IBO196641:IBY196643 ILK196641:ILU196643 IVG196641:IVQ196643 JFC196641:JFM196643 JOY196641:JPI196643 JYU196641:JZE196643 KIQ196641:KJA196643 KSM196641:KSW196643 LCI196641:LCS196643 LME196641:LMO196643 LWA196641:LWK196643 MFW196641:MGG196643 MPS196641:MQC196643 MZO196641:MZY196643 NJK196641:NJU196643 NTG196641:NTQ196643 ODC196641:ODM196643 OMY196641:ONI196643 OWU196641:OXE196643 PGQ196641:PHA196643 PQM196641:PQW196643 QAI196641:QAS196643 QKE196641:QKO196643 QUA196641:QUK196643 RDW196641:REG196643 RNS196641:ROC196643 RXO196641:RXY196643 SHK196641:SHU196643 SRG196641:SRQ196643 TBC196641:TBM196643 TKY196641:TLI196643 TUU196641:TVE196643 UEQ196641:UFA196643 UOM196641:UOW196643 UYI196641:UYS196643 VIE196641:VIO196643 VSA196641:VSK196643 WBW196641:WCG196643 WLS196641:WMC196643 WVO196641:WVY196643 G262177:Q262179 JC262177:JM262179 SY262177:TI262179 ACU262177:ADE262179 AMQ262177:ANA262179 AWM262177:AWW262179 BGI262177:BGS262179 BQE262177:BQO262179 CAA262177:CAK262179 CJW262177:CKG262179 CTS262177:CUC262179 DDO262177:DDY262179 DNK262177:DNU262179 DXG262177:DXQ262179 EHC262177:EHM262179 EQY262177:ERI262179 FAU262177:FBE262179 FKQ262177:FLA262179 FUM262177:FUW262179 GEI262177:GES262179 GOE262177:GOO262179 GYA262177:GYK262179 HHW262177:HIG262179 HRS262177:HSC262179 IBO262177:IBY262179 ILK262177:ILU262179 IVG262177:IVQ262179 JFC262177:JFM262179 JOY262177:JPI262179 JYU262177:JZE262179 KIQ262177:KJA262179 KSM262177:KSW262179 LCI262177:LCS262179 LME262177:LMO262179 LWA262177:LWK262179 MFW262177:MGG262179 MPS262177:MQC262179 MZO262177:MZY262179 NJK262177:NJU262179 NTG262177:NTQ262179 ODC262177:ODM262179 OMY262177:ONI262179 OWU262177:OXE262179 PGQ262177:PHA262179 PQM262177:PQW262179 QAI262177:QAS262179 QKE262177:QKO262179 QUA262177:QUK262179 RDW262177:REG262179 RNS262177:ROC262179 RXO262177:RXY262179 SHK262177:SHU262179 SRG262177:SRQ262179 TBC262177:TBM262179 TKY262177:TLI262179 TUU262177:TVE262179 UEQ262177:UFA262179 UOM262177:UOW262179 UYI262177:UYS262179 VIE262177:VIO262179 VSA262177:VSK262179 WBW262177:WCG262179 WLS262177:WMC262179 WVO262177:WVY262179 G327713:Q327715 JC327713:JM327715 SY327713:TI327715 ACU327713:ADE327715 AMQ327713:ANA327715 AWM327713:AWW327715 BGI327713:BGS327715 BQE327713:BQO327715 CAA327713:CAK327715 CJW327713:CKG327715 CTS327713:CUC327715 DDO327713:DDY327715 DNK327713:DNU327715 DXG327713:DXQ327715 EHC327713:EHM327715 EQY327713:ERI327715 FAU327713:FBE327715 FKQ327713:FLA327715 FUM327713:FUW327715 GEI327713:GES327715 GOE327713:GOO327715 GYA327713:GYK327715 HHW327713:HIG327715 HRS327713:HSC327715 IBO327713:IBY327715 ILK327713:ILU327715 IVG327713:IVQ327715 JFC327713:JFM327715 JOY327713:JPI327715 JYU327713:JZE327715 KIQ327713:KJA327715 KSM327713:KSW327715 LCI327713:LCS327715 LME327713:LMO327715 LWA327713:LWK327715 MFW327713:MGG327715 MPS327713:MQC327715 MZO327713:MZY327715 NJK327713:NJU327715 NTG327713:NTQ327715 ODC327713:ODM327715 OMY327713:ONI327715 OWU327713:OXE327715 PGQ327713:PHA327715 PQM327713:PQW327715 QAI327713:QAS327715 QKE327713:QKO327715 QUA327713:QUK327715 RDW327713:REG327715 RNS327713:ROC327715 RXO327713:RXY327715 SHK327713:SHU327715 SRG327713:SRQ327715 TBC327713:TBM327715 TKY327713:TLI327715 TUU327713:TVE327715 UEQ327713:UFA327715 UOM327713:UOW327715 UYI327713:UYS327715 VIE327713:VIO327715 VSA327713:VSK327715 WBW327713:WCG327715 WLS327713:WMC327715 WVO327713:WVY327715 G393249:Q393251 JC393249:JM393251 SY393249:TI393251 ACU393249:ADE393251 AMQ393249:ANA393251 AWM393249:AWW393251 BGI393249:BGS393251 BQE393249:BQO393251 CAA393249:CAK393251 CJW393249:CKG393251 CTS393249:CUC393251 DDO393249:DDY393251 DNK393249:DNU393251 DXG393249:DXQ393251 EHC393249:EHM393251 EQY393249:ERI393251 FAU393249:FBE393251 FKQ393249:FLA393251 FUM393249:FUW393251 GEI393249:GES393251 GOE393249:GOO393251 GYA393249:GYK393251 HHW393249:HIG393251 HRS393249:HSC393251 IBO393249:IBY393251 ILK393249:ILU393251 IVG393249:IVQ393251 JFC393249:JFM393251 JOY393249:JPI393251 JYU393249:JZE393251 KIQ393249:KJA393251 KSM393249:KSW393251 LCI393249:LCS393251 LME393249:LMO393251 LWA393249:LWK393251 MFW393249:MGG393251 MPS393249:MQC393251 MZO393249:MZY393251 NJK393249:NJU393251 NTG393249:NTQ393251 ODC393249:ODM393251 OMY393249:ONI393251 OWU393249:OXE393251 PGQ393249:PHA393251 PQM393249:PQW393251 QAI393249:QAS393251 QKE393249:QKO393251 QUA393249:QUK393251 RDW393249:REG393251 RNS393249:ROC393251 RXO393249:RXY393251 SHK393249:SHU393251 SRG393249:SRQ393251 TBC393249:TBM393251 TKY393249:TLI393251 TUU393249:TVE393251 UEQ393249:UFA393251 UOM393249:UOW393251 UYI393249:UYS393251 VIE393249:VIO393251 VSA393249:VSK393251 WBW393249:WCG393251 WLS393249:WMC393251 WVO393249:WVY393251 G458785:Q458787 JC458785:JM458787 SY458785:TI458787 ACU458785:ADE458787 AMQ458785:ANA458787 AWM458785:AWW458787 BGI458785:BGS458787 BQE458785:BQO458787 CAA458785:CAK458787 CJW458785:CKG458787 CTS458785:CUC458787 DDO458785:DDY458787 DNK458785:DNU458787 DXG458785:DXQ458787 EHC458785:EHM458787 EQY458785:ERI458787 FAU458785:FBE458787 FKQ458785:FLA458787 FUM458785:FUW458787 GEI458785:GES458787 GOE458785:GOO458787 GYA458785:GYK458787 HHW458785:HIG458787 HRS458785:HSC458787 IBO458785:IBY458787 ILK458785:ILU458787 IVG458785:IVQ458787 JFC458785:JFM458787 JOY458785:JPI458787 JYU458785:JZE458787 KIQ458785:KJA458787 KSM458785:KSW458787 LCI458785:LCS458787 LME458785:LMO458787 LWA458785:LWK458787 MFW458785:MGG458787 MPS458785:MQC458787 MZO458785:MZY458787 NJK458785:NJU458787 NTG458785:NTQ458787 ODC458785:ODM458787 OMY458785:ONI458787 OWU458785:OXE458787 PGQ458785:PHA458787 PQM458785:PQW458787 QAI458785:QAS458787 QKE458785:QKO458787 QUA458785:QUK458787 RDW458785:REG458787 RNS458785:ROC458787 RXO458785:RXY458787 SHK458785:SHU458787 SRG458785:SRQ458787 TBC458785:TBM458787 TKY458785:TLI458787 TUU458785:TVE458787 UEQ458785:UFA458787 UOM458785:UOW458787 UYI458785:UYS458787 VIE458785:VIO458787 VSA458785:VSK458787 WBW458785:WCG458787 WLS458785:WMC458787 WVO458785:WVY458787 G524321:Q524323 JC524321:JM524323 SY524321:TI524323 ACU524321:ADE524323 AMQ524321:ANA524323 AWM524321:AWW524323 BGI524321:BGS524323 BQE524321:BQO524323 CAA524321:CAK524323 CJW524321:CKG524323 CTS524321:CUC524323 DDO524321:DDY524323 DNK524321:DNU524323 DXG524321:DXQ524323 EHC524321:EHM524323 EQY524321:ERI524323 FAU524321:FBE524323 FKQ524321:FLA524323 FUM524321:FUW524323 GEI524321:GES524323 GOE524321:GOO524323 GYA524321:GYK524323 HHW524321:HIG524323 HRS524321:HSC524323 IBO524321:IBY524323 ILK524321:ILU524323 IVG524321:IVQ524323 JFC524321:JFM524323 JOY524321:JPI524323 JYU524321:JZE524323 KIQ524321:KJA524323 KSM524321:KSW524323 LCI524321:LCS524323 LME524321:LMO524323 LWA524321:LWK524323 MFW524321:MGG524323 MPS524321:MQC524323 MZO524321:MZY524323 NJK524321:NJU524323 NTG524321:NTQ524323 ODC524321:ODM524323 OMY524321:ONI524323 OWU524321:OXE524323 PGQ524321:PHA524323 PQM524321:PQW524323 QAI524321:QAS524323 QKE524321:QKO524323 QUA524321:QUK524323 RDW524321:REG524323 RNS524321:ROC524323 RXO524321:RXY524323 SHK524321:SHU524323 SRG524321:SRQ524323 TBC524321:TBM524323 TKY524321:TLI524323 TUU524321:TVE524323 UEQ524321:UFA524323 UOM524321:UOW524323 UYI524321:UYS524323 VIE524321:VIO524323 VSA524321:VSK524323 WBW524321:WCG524323 WLS524321:WMC524323 WVO524321:WVY524323 G589857:Q589859 JC589857:JM589859 SY589857:TI589859 ACU589857:ADE589859 AMQ589857:ANA589859 AWM589857:AWW589859 BGI589857:BGS589859 BQE589857:BQO589859 CAA589857:CAK589859 CJW589857:CKG589859 CTS589857:CUC589859 DDO589857:DDY589859 DNK589857:DNU589859 DXG589857:DXQ589859 EHC589857:EHM589859 EQY589857:ERI589859 FAU589857:FBE589859 FKQ589857:FLA589859 FUM589857:FUW589859 GEI589857:GES589859 GOE589857:GOO589859 GYA589857:GYK589859 HHW589857:HIG589859 HRS589857:HSC589859 IBO589857:IBY589859 ILK589857:ILU589859 IVG589857:IVQ589859 JFC589857:JFM589859 JOY589857:JPI589859 JYU589857:JZE589859 KIQ589857:KJA589859 KSM589857:KSW589859 LCI589857:LCS589859 LME589857:LMO589859 LWA589857:LWK589859 MFW589857:MGG589859 MPS589857:MQC589859 MZO589857:MZY589859 NJK589857:NJU589859 NTG589857:NTQ589859 ODC589857:ODM589859 OMY589857:ONI589859 OWU589857:OXE589859 PGQ589857:PHA589859 PQM589857:PQW589859 QAI589857:QAS589859 QKE589857:QKO589859 QUA589857:QUK589859 RDW589857:REG589859 RNS589857:ROC589859 RXO589857:RXY589859 SHK589857:SHU589859 SRG589857:SRQ589859 TBC589857:TBM589859 TKY589857:TLI589859 TUU589857:TVE589859 UEQ589857:UFA589859 UOM589857:UOW589859 UYI589857:UYS589859 VIE589857:VIO589859 VSA589857:VSK589859 WBW589857:WCG589859 WLS589857:WMC589859 WVO589857:WVY589859 G655393:Q655395 JC655393:JM655395 SY655393:TI655395 ACU655393:ADE655395 AMQ655393:ANA655395 AWM655393:AWW655395 BGI655393:BGS655395 BQE655393:BQO655395 CAA655393:CAK655395 CJW655393:CKG655395 CTS655393:CUC655395 DDO655393:DDY655395 DNK655393:DNU655395 DXG655393:DXQ655395 EHC655393:EHM655395 EQY655393:ERI655395 FAU655393:FBE655395 FKQ655393:FLA655395 FUM655393:FUW655395 GEI655393:GES655395 GOE655393:GOO655395 GYA655393:GYK655395 HHW655393:HIG655395 HRS655393:HSC655395 IBO655393:IBY655395 ILK655393:ILU655395 IVG655393:IVQ655395 JFC655393:JFM655395 JOY655393:JPI655395 JYU655393:JZE655395 KIQ655393:KJA655395 KSM655393:KSW655395 LCI655393:LCS655395 LME655393:LMO655395 LWA655393:LWK655395 MFW655393:MGG655395 MPS655393:MQC655395 MZO655393:MZY655395 NJK655393:NJU655395 NTG655393:NTQ655395 ODC655393:ODM655395 OMY655393:ONI655395 OWU655393:OXE655395 PGQ655393:PHA655395 PQM655393:PQW655395 QAI655393:QAS655395 QKE655393:QKO655395 QUA655393:QUK655395 RDW655393:REG655395 RNS655393:ROC655395 RXO655393:RXY655395 SHK655393:SHU655395 SRG655393:SRQ655395 TBC655393:TBM655395 TKY655393:TLI655395 TUU655393:TVE655395 UEQ655393:UFA655395 UOM655393:UOW655395 UYI655393:UYS655395 VIE655393:VIO655395 VSA655393:VSK655395 WBW655393:WCG655395 WLS655393:WMC655395 WVO655393:WVY655395 G720929:Q720931 JC720929:JM720931 SY720929:TI720931 ACU720929:ADE720931 AMQ720929:ANA720931 AWM720929:AWW720931 BGI720929:BGS720931 BQE720929:BQO720931 CAA720929:CAK720931 CJW720929:CKG720931 CTS720929:CUC720931 DDO720929:DDY720931 DNK720929:DNU720931 DXG720929:DXQ720931 EHC720929:EHM720931 EQY720929:ERI720931 FAU720929:FBE720931 FKQ720929:FLA720931 FUM720929:FUW720931 GEI720929:GES720931 GOE720929:GOO720931 GYA720929:GYK720931 HHW720929:HIG720931 HRS720929:HSC720931 IBO720929:IBY720931 ILK720929:ILU720931 IVG720929:IVQ720931 JFC720929:JFM720931 JOY720929:JPI720931 JYU720929:JZE720931 KIQ720929:KJA720931 KSM720929:KSW720931 LCI720929:LCS720931 LME720929:LMO720931 LWA720929:LWK720931 MFW720929:MGG720931 MPS720929:MQC720931 MZO720929:MZY720931 NJK720929:NJU720931 NTG720929:NTQ720931 ODC720929:ODM720931 OMY720929:ONI720931 OWU720929:OXE720931 PGQ720929:PHA720931 PQM720929:PQW720931 QAI720929:QAS720931 QKE720929:QKO720931 QUA720929:QUK720931 RDW720929:REG720931 RNS720929:ROC720931 RXO720929:RXY720931 SHK720929:SHU720931 SRG720929:SRQ720931 TBC720929:TBM720931 TKY720929:TLI720931 TUU720929:TVE720931 UEQ720929:UFA720931 UOM720929:UOW720931 UYI720929:UYS720931 VIE720929:VIO720931 VSA720929:VSK720931 WBW720929:WCG720931 WLS720929:WMC720931 WVO720929:WVY720931 G786465:Q786467 JC786465:JM786467 SY786465:TI786467 ACU786465:ADE786467 AMQ786465:ANA786467 AWM786465:AWW786467 BGI786465:BGS786467 BQE786465:BQO786467 CAA786465:CAK786467 CJW786465:CKG786467 CTS786465:CUC786467 DDO786465:DDY786467 DNK786465:DNU786467 DXG786465:DXQ786467 EHC786465:EHM786467 EQY786465:ERI786467 FAU786465:FBE786467 FKQ786465:FLA786467 FUM786465:FUW786467 GEI786465:GES786467 GOE786465:GOO786467 GYA786465:GYK786467 HHW786465:HIG786467 HRS786465:HSC786467 IBO786465:IBY786467 ILK786465:ILU786467 IVG786465:IVQ786467 JFC786465:JFM786467 JOY786465:JPI786467 JYU786465:JZE786467 KIQ786465:KJA786467 KSM786465:KSW786467 LCI786465:LCS786467 LME786465:LMO786467 LWA786465:LWK786467 MFW786465:MGG786467 MPS786465:MQC786467 MZO786465:MZY786467 NJK786465:NJU786467 NTG786465:NTQ786467 ODC786465:ODM786467 OMY786465:ONI786467 OWU786465:OXE786467 PGQ786465:PHA786467 PQM786465:PQW786467 QAI786465:QAS786467 QKE786465:QKO786467 QUA786465:QUK786467 RDW786465:REG786467 RNS786465:ROC786467 RXO786465:RXY786467 SHK786465:SHU786467 SRG786465:SRQ786467 TBC786465:TBM786467 TKY786465:TLI786467 TUU786465:TVE786467 UEQ786465:UFA786467 UOM786465:UOW786467 UYI786465:UYS786467 VIE786465:VIO786467 VSA786465:VSK786467 WBW786465:WCG786467 WLS786465:WMC786467 WVO786465:WVY786467 G852001:Q852003 JC852001:JM852003 SY852001:TI852003 ACU852001:ADE852003 AMQ852001:ANA852003 AWM852001:AWW852003 BGI852001:BGS852003 BQE852001:BQO852003 CAA852001:CAK852003 CJW852001:CKG852003 CTS852001:CUC852003 DDO852001:DDY852003 DNK852001:DNU852003 DXG852001:DXQ852003 EHC852001:EHM852003 EQY852001:ERI852003 FAU852001:FBE852003 FKQ852001:FLA852003 FUM852001:FUW852003 GEI852001:GES852003 GOE852001:GOO852003 GYA852001:GYK852003 HHW852001:HIG852003 HRS852001:HSC852003 IBO852001:IBY852003 ILK852001:ILU852003 IVG852001:IVQ852003 JFC852001:JFM852003 JOY852001:JPI852003 JYU852001:JZE852003 KIQ852001:KJA852003 KSM852001:KSW852003 LCI852001:LCS852003 LME852001:LMO852003 LWA852001:LWK852003 MFW852001:MGG852003 MPS852001:MQC852003 MZO852001:MZY852003 NJK852001:NJU852003 NTG852001:NTQ852003 ODC852001:ODM852003 OMY852001:ONI852003 OWU852001:OXE852003 PGQ852001:PHA852003 PQM852001:PQW852003 QAI852001:QAS852003 QKE852001:QKO852003 QUA852001:QUK852003 RDW852001:REG852003 RNS852001:ROC852003 RXO852001:RXY852003 SHK852001:SHU852003 SRG852001:SRQ852003 TBC852001:TBM852003 TKY852001:TLI852003 TUU852001:TVE852003 UEQ852001:UFA852003 UOM852001:UOW852003 UYI852001:UYS852003 VIE852001:VIO852003 VSA852001:VSK852003 WBW852001:WCG852003 WLS852001:WMC852003 WVO852001:WVY852003 G917537:Q917539 JC917537:JM917539 SY917537:TI917539 ACU917537:ADE917539 AMQ917537:ANA917539 AWM917537:AWW917539 BGI917537:BGS917539 BQE917537:BQO917539 CAA917537:CAK917539 CJW917537:CKG917539 CTS917537:CUC917539 DDO917537:DDY917539 DNK917537:DNU917539 DXG917537:DXQ917539 EHC917537:EHM917539 EQY917537:ERI917539 FAU917537:FBE917539 FKQ917537:FLA917539 FUM917537:FUW917539 GEI917537:GES917539 GOE917537:GOO917539 GYA917537:GYK917539 HHW917537:HIG917539 HRS917537:HSC917539 IBO917537:IBY917539 ILK917537:ILU917539 IVG917537:IVQ917539 JFC917537:JFM917539 JOY917537:JPI917539 JYU917537:JZE917539 KIQ917537:KJA917539 KSM917537:KSW917539 LCI917537:LCS917539 LME917537:LMO917539 LWA917537:LWK917539 MFW917537:MGG917539 MPS917537:MQC917539 MZO917537:MZY917539 NJK917537:NJU917539 NTG917537:NTQ917539 ODC917537:ODM917539 OMY917537:ONI917539 OWU917537:OXE917539 PGQ917537:PHA917539 PQM917537:PQW917539 QAI917537:QAS917539 QKE917537:QKO917539 QUA917537:QUK917539 RDW917537:REG917539 RNS917537:ROC917539 RXO917537:RXY917539 SHK917537:SHU917539 SRG917537:SRQ917539 TBC917537:TBM917539 TKY917537:TLI917539 TUU917537:TVE917539 UEQ917537:UFA917539 UOM917537:UOW917539 UYI917537:UYS917539 VIE917537:VIO917539 VSA917537:VSK917539 WBW917537:WCG917539 WLS917537:WMC917539 WVO917537:WVY917539 G983073:Q983075 JC983073:JM983075 SY983073:TI983075 ACU983073:ADE983075 AMQ983073:ANA983075 AWM983073:AWW983075 BGI983073:BGS983075 BQE983073:BQO983075 CAA983073:CAK983075 CJW983073:CKG983075 CTS983073:CUC983075 DDO983073:DDY983075 DNK983073:DNU983075 DXG983073:DXQ983075 EHC983073:EHM983075 EQY983073:ERI983075 FAU983073:FBE983075 FKQ983073:FLA983075 FUM983073:FUW983075 GEI983073:GES983075 GOE983073:GOO983075 GYA983073:GYK983075 HHW983073:HIG983075 HRS983073:HSC983075 IBO983073:IBY983075 ILK983073:ILU983075 IVG983073:IVQ983075 JFC983073:JFM983075 JOY983073:JPI983075 JYU983073:JZE983075 KIQ983073:KJA983075 KSM983073:KSW983075 LCI983073:LCS983075 LME983073:LMO983075 LWA983073:LWK983075 MFW983073:MGG983075 MPS983073:MQC983075 MZO983073:MZY983075 NJK983073:NJU983075 NTG983073:NTQ983075 ODC983073:ODM983075 OMY983073:ONI983075 OWU983073:OXE983075 PGQ983073:PHA983075 PQM983073:PQW983075 QAI983073:QAS983075 QKE983073:QKO983075 QUA983073:QUK983075 RDW983073:REG983075 RNS983073:ROC983075 RXO983073:RXY983075 SHK983073:SHU983075 SRG983073:SRQ983075 TBC983073:TBM983075 TKY983073:TLI983075 TUU983073:TVE983075 UEQ983073:UFA983075 UOM983073:UOW983075 UYI983073:UYS983075 VIE983073:VIO983075 VSA983073:VSK983075 WBW983073:WCG983075 WLS983073:WMC983075 WVO983073:WVY983075 G41:Q42 JC41:JM42 SY41:TI42 ACU41:ADE42 AMQ41:ANA42 AWM41:AWW42 BGI41:BGS42 BQE41:BQO42 CAA41:CAK42 CJW41:CKG42 CTS41:CUC42 DDO41:DDY42 DNK41:DNU42 DXG41:DXQ42 EHC41:EHM42 EQY41:ERI42 FAU41:FBE42 FKQ41:FLA42 FUM41:FUW42 GEI41:GES42 GOE41:GOO42 GYA41:GYK42 HHW41:HIG42 HRS41:HSC42 IBO41:IBY42 ILK41:ILU42 IVG41:IVQ42 JFC41:JFM42 JOY41:JPI42 JYU41:JZE42 KIQ41:KJA42 KSM41:KSW42 LCI41:LCS42 LME41:LMO42 LWA41:LWK42 MFW41:MGG42 MPS41:MQC42 MZO41:MZY42 NJK41:NJU42 NTG41:NTQ42 ODC41:ODM42 OMY41:ONI42 OWU41:OXE42 PGQ41:PHA42 PQM41:PQW42 QAI41:QAS42 QKE41:QKO42 QUA41:QUK42 RDW41:REG42 RNS41:ROC42 RXO41:RXY42 SHK41:SHU42 SRG41:SRQ42 TBC41:TBM42 TKY41:TLI42 TUU41:TVE42 UEQ41:UFA42 UOM41:UOW42 UYI41:UYS42 VIE41:VIO42 VSA41:VSK42 WBW41:WCG42 WLS41:WMC42 WVO41:WVY42 G65513:Q65514 JC65513:JM65514 SY65513:TI65514 ACU65513:ADE65514 AMQ65513:ANA65514 AWM65513:AWW65514 BGI65513:BGS65514 BQE65513:BQO65514 CAA65513:CAK65514 CJW65513:CKG65514 CTS65513:CUC65514 DDO65513:DDY65514 DNK65513:DNU65514 DXG65513:DXQ65514 EHC65513:EHM65514 EQY65513:ERI65514 FAU65513:FBE65514 FKQ65513:FLA65514 FUM65513:FUW65514 GEI65513:GES65514 GOE65513:GOO65514 GYA65513:GYK65514 HHW65513:HIG65514 HRS65513:HSC65514 IBO65513:IBY65514 ILK65513:ILU65514 IVG65513:IVQ65514 JFC65513:JFM65514 JOY65513:JPI65514 JYU65513:JZE65514 KIQ65513:KJA65514 KSM65513:KSW65514 LCI65513:LCS65514 LME65513:LMO65514 LWA65513:LWK65514 MFW65513:MGG65514 MPS65513:MQC65514 MZO65513:MZY65514 NJK65513:NJU65514 NTG65513:NTQ65514 ODC65513:ODM65514 OMY65513:ONI65514 OWU65513:OXE65514 PGQ65513:PHA65514 PQM65513:PQW65514 QAI65513:QAS65514 QKE65513:QKO65514 QUA65513:QUK65514 RDW65513:REG65514 RNS65513:ROC65514 RXO65513:RXY65514 SHK65513:SHU65514 SRG65513:SRQ65514 TBC65513:TBM65514 TKY65513:TLI65514 TUU65513:TVE65514 UEQ65513:UFA65514 UOM65513:UOW65514 UYI65513:UYS65514 VIE65513:VIO65514 VSA65513:VSK65514 WBW65513:WCG65514 WLS65513:WMC65514 WVO65513:WVY65514 G131049:Q131050 JC131049:JM131050 SY131049:TI131050 ACU131049:ADE131050 AMQ131049:ANA131050 AWM131049:AWW131050 BGI131049:BGS131050 BQE131049:BQO131050 CAA131049:CAK131050 CJW131049:CKG131050 CTS131049:CUC131050 DDO131049:DDY131050 DNK131049:DNU131050 DXG131049:DXQ131050 EHC131049:EHM131050 EQY131049:ERI131050 FAU131049:FBE131050 FKQ131049:FLA131050 FUM131049:FUW131050 GEI131049:GES131050 GOE131049:GOO131050 GYA131049:GYK131050 HHW131049:HIG131050 HRS131049:HSC131050 IBO131049:IBY131050 ILK131049:ILU131050 IVG131049:IVQ131050 JFC131049:JFM131050 JOY131049:JPI131050 JYU131049:JZE131050 KIQ131049:KJA131050 KSM131049:KSW131050 LCI131049:LCS131050 LME131049:LMO131050 LWA131049:LWK131050 MFW131049:MGG131050 MPS131049:MQC131050 MZO131049:MZY131050 NJK131049:NJU131050 NTG131049:NTQ131050 ODC131049:ODM131050 OMY131049:ONI131050 OWU131049:OXE131050 PGQ131049:PHA131050 PQM131049:PQW131050 QAI131049:QAS131050 QKE131049:QKO131050 QUA131049:QUK131050 RDW131049:REG131050 RNS131049:ROC131050 RXO131049:RXY131050 SHK131049:SHU131050 SRG131049:SRQ131050 TBC131049:TBM131050 TKY131049:TLI131050 TUU131049:TVE131050 UEQ131049:UFA131050 UOM131049:UOW131050 UYI131049:UYS131050 VIE131049:VIO131050 VSA131049:VSK131050 WBW131049:WCG131050 WLS131049:WMC131050 WVO131049:WVY131050 G196585:Q196586 JC196585:JM196586 SY196585:TI196586 ACU196585:ADE196586 AMQ196585:ANA196586 AWM196585:AWW196586 BGI196585:BGS196586 BQE196585:BQO196586 CAA196585:CAK196586 CJW196585:CKG196586 CTS196585:CUC196586 DDO196585:DDY196586 DNK196585:DNU196586 DXG196585:DXQ196586 EHC196585:EHM196586 EQY196585:ERI196586 FAU196585:FBE196586 FKQ196585:FLA196586 FUM196585:FUW196586 GEI196585:GES196586 GOE196585:GOO196586 GYA196585:GYK196586 HHW196585:HIG196586 HRS196585:HSC196586 IBO196585:IBY196586 ILK196585:ILU196586 IVG196585:IVQ196586 JFC196585:JFM196586 JOY196585:JPI196586 JYU196585:JZE196586 KIQ196585:KJA196586 KSM196585:KSW196586 LCI196585:LCS196586 LME196585:LMO196586 LWA196585:LWK196586 MFW196585:MGG196586 MPS196585:MQC196586 MZO196585:MZY196586 NJK196585:NJU196586 NTG196585:NTQ196586 ODC196585:ODM196586 OMY196585:ONI196586 OWU196585:OXE196586 PGQ196585:PHA196586 PQM196585:PQW196586 QAI196585:QAS196586 QKE196585:QKO196586 QUA196585:QUK196586 RDW196585:REG196586 RNS196585:ROC196586 RXO196585:RXY196586 SHK196585:SHU196586 SRG196585:SRQ196586 TBC196585:TBM196586 TKY196585:TLI196586 TUU196585:TVE196586 UEQ196585:UFA196586 UOM196585:UOW196586 UYI196585:UYS196586 VIE196585:VIO196586 VSA196585:VSK196586 WBW196585:WCG196586 WLS196585:WMC196586 WVO196585:WVY196586 G262121:Q262122 JC262121:JM262122 SY262121:TI262122 ACU262121:ADE262122 AMQ262121:ANA262122 AWM262121:AWW262122 BGI262121:BGS262122 BQE262121:BQO262122 CAA262121:CAK262122 CJW262121:CKG262122 CTS262121:CUC262122 DDO262121:DDY262122 DNK262121:DNU262122 DXG262121:DXQ262122 EHC262121:EHM262122 EQY262121:ERI262122 FAU262121:FBE262122 FKQ262121:FLA262122 FUM262121:FUW262122 GEI262121:GES262122 GOE262121:GOO262122 GYA262121:GYK262122 HHW262121:HIG262122 HRS262121:HSC262122 IBO262121:IBY262122 ILK262121:ILU262122 IVG262121:IVQ262122 JFC262121:JFM262122 JOY262121:JPI262122 JYU262121:JZE262122 KIQ262121:KJA262122 KSM262121:KSW262122 LCI262121:LCS262122 LME262121:LMO262122 LWA262121:LWK262122 MFW262121:MGG262122 MPS262121:MQC262122 MZO262121:MZY262122 NJK262121:NJU262122 NTG262121:NTQ262122 ODC262121:ODM262122 OMY262121:ONI262122 OWU262121:OXE262122 PGQ262121:PHA262122 PQM262121:PQW262122 QAI262121:QAS262122 QKE262121:QKO262122 QUA262121:QUK262122 RDW262121:REG262122 RNS262121:ROC262122 RXO262121:RXY262122 SHK262121:SHU262122 SRG262121:SRQ262122 TBC262121:TBM262122 TKY262121:TLI262122 TUU262121:TVE262122 UEQ262121:UFA262122 UOM262121:UOW262122 UYI262121:UYS262122 VIE262121:VIO262122 VSA262121:VSK262122 WBW262121:WCG262122 WLS262121:WMC262122 WVO262121:WVY262122 G327657:Q327658 JC327657:JM327658 SY327657:TI327658 ACU327657:ADE327658 AMQ327657:ANA327658 AWM327657:AWW327658 BGI327657:BGS327658 BQE327657:BQO327658 CAA327657:CAK327658 CJW327657:CKG327658 CTS327657:CUC327658 DDO327657:DDY327658 DNK327657:DNU327658 DXG327657:DXQ327658 EHC327657:EHM327658 EQY327657:ERI327658 FAU327657:FBE327658 FKQ327657:FLA327658 FUM327657:FUW327658 GEI327657:GES327658 GOE327657:GOO327658 GYA327657:GYK327658 HHW327657:HIG327658 HRS327657:HSC327658 IBO327657:IBY327658 ILK327657:ILU327658 IVG327657:IVQ327658 JFC327657:JFM327658 JOY327657:JPI327658 JYU327657:JZE327658 KIQ327657:KJA327658 KSM327657:KSW327658 LCI327657:LCS327658 LME327657:LMO327658 LWA327657:LWK327658 MFW327657:MGG327658 MPS327657:MQC327658 MZO327657:MZY327658 NJK327657:NJU327658 NTG327657:NTQ327658 ODC327657:ODM327658 OMY327657:ONI327658 OWU327657:OXE327658 PGQ327657:PHA327658 PQM327657:PQW327658 QAI327657:QAS327658 QKE327657:QKO327658 QUA327657:QUK327658 RDW327657:REG327658 RNS327657:ROC327658 RXO327657:RXY327658 SHK327657:SHU327658 SRG327657:SRQ327658 TBC327657:TBM327658 TKY327657:TLI327658 TUU327657:TVE327658 UEQ327657:UFA327658 UOM327657:UOW327658 UYI327657:UYS327658 VIE327657:VIO327658 VSA327657:VSK327658 WBW327657:WCG327658 WLS327657:WMC327658 WVO327657:WVY327658 G393193:Q393194 JC393193:JM393194 SY393193:TI393194 ACU393193:ADE393194 AMQ393193:ANA393194 AWM393193:AWW393194 BGI393193:BGS393194 BQE393193:BQO393194 CAA393193:CAK393194 CJW393193:CKG393194 CTS393193:CUC393194 DDO393193:DDY393194 DNK393193:DNU393194 DXG393193:DXQ393194 EHC393193:EHM393194 EQY393193:ERI393194 FAU393193:FBE393194 FKQ393193:FLA393194 FUM393193:FUW393194 GEI393193:GES393194 GOE393193:GOO393194 GYA393193:GYK393194 HHW393193:HIG393194 HRS393193:HSC393194 IBO393193:IBY393194 ILK393193:ILU393194 IVG393193:IVQ393194 JFC393193:JFM393194 JOY393193:JPI393194 JYU393193:JZE393194 KIQ393193:KJA393194 KSM393193:KSW393194 LCI393193:LCS393194 LME393193:LMO393194 LWA393193:LWK393194 MFW393193:MGG393194 MPS393193:MQC393194 MZO393193:MZY393194 NJK393193:NJU393194 NTG393193:NTQ393194 ODC393193:ODM393194 OMY393193:ONI393194 OWU393193:OXE393194 PGQ393193:PHA393194 PQM393193:PQW393194 QAI393193:QAS393194 QKE393193:QKO393194 QUA393193:QUK393194 RDW393193:REG393194 RNS393193:ROC393194 RXO393193:RXY393194 SHK393193:SHU393194 SRG393193:SRQ393194 TBC393193:TBM393194 TKY393193:TLI393194 TUU393193:TVE393194 UEQ393193:UFA393194 UOM393193:UOW393194 UYI393193:UYS393194 VIE393193:VIO393194 VSA393193:VSK393194 WBW393193:WCG393194 WLS393193:WMC393194 WVO393193:WVY393194 G458729:Q458730 JC458729:JM458730 SY458729:TI458730 ACU458729:ADE458730 AMQ458729:ANA458730 AWM458729:AWW458730 BGI458729:BGS458730 BQE458729:BQO458730 CAA458729:CAK458730 CJW458729:CKG458730 CTS458729:CUC458730 DDO458729:DDY458730 DNK458729:DNU458730 DXG458729:DXQ458730 EHC458729:EHM458730 EQY458729:ERI458730 FAU458729:FBE458730 FKQ458729:FLA458730 FUM458729:FUW458730 GEI458729:GES458730 GOE458729:GOO458730 GYA458729:GYK458730 HHW458729:HIG458730 HRS458729:HSC458730 IBO458729:IBY458730 ILK458729:ILU458730 IVG458729:IVQ458730 JFC458729:JFM458730 JOY458729:JPI458730 JYU458729:JZE458730 KIQ458729:KJA458730 KSM458729:KSW458730 LCI458729:LCS458730 LME458729:LMO458730 LWA458729:LWK458730 MFW458729:MGG458730 MPS458729:MQC458730 MZO458729:MZY458730 NJK458729:NJU458730 NTG458729:NTQ458730 ODC458729:ODM458730 OMY458729:ONI458730 OWU458729:OXE458730 PGQ458729:PHA458730 PQM458729:PQW458730 QAI458729:QAS458730 QKE458729:QKO458730 QUA458729:QUK458730 RDW458729:REG458730 RNS458729:ROC458730 RXO458729:RXY458730 SHK458729:SHU458730 SRG458729:SRQ458730 TBC458729:TBM458730 TKY458729:TLI458730 TUU458729:TVE458730 UEQ458729:UFA458730 UOM458729:UOW458730 UYI458729:UYS458730 VIE458729:VIO458730 VSA458729:VSK458730 WBW458729:WCG458730 WLS458729:WMC458730 WVO458729:WVY458730 G524265:Q524266 JC524265:JM524266 SY524265:TI524266 ACU524265:ADE524266 AMQ524265:ANA524266 AWM524265:AWW524266 BGI524265:BGS524266 BQE524265:BQO524266 CAA524265:CAK524266 CJW524265:CKG524266 CTS524265:CUC524266 DDO524265:DDY524266 DNK524265:DNU524266 DXG524265:DXQ524266 EHC524265:EHM524266 EQY524265:ERI524266 FAU524265:FBE524266 FKQ524265:FLA524266 FUM524265:FUW524266 GEI524265:GES524266 GOE524265:GOO524266 GYA524265:GYK524266 HHW524265:HIG524266 HRS524265:HSC524266 IBO524265:IBY524266 ILK524265:ILU524266 IVG524265:IVQ524266 JFC524265:JFM524266 JOY524265:JPI524266 JYU524265:JZE524266 KIQ524265:KJA524266 KSM524265:KSW524266 LCI524265:LCS524266 LME524265:LMO524266 LWA524265:LWK524266 MFW524265:MGG524266 MPS524265:MQC524266 MZO524265:MZY524266 NJK524265:NJU524266 NTG524265:NTQ524266 ODC524265:ODM524266 OMY524265:ONI524266 OWU524265:OXE524266 PGQ524265:PHA524266 PQM524265:PQW524266 QAI524265:QAS524266 QKE524265:QKO524266 QUA524265:QUK524266 RDW524265:REG524266 RNS524265:ROC524266 RXO524265:RXY524266 SHK524265:SHU524266 SRG524265:SRQ524266 TBC524265:TBM524266 TKY524265:TLI524266 TUU524265:TVE524266 UEQ524265:UFA524266 UOM524265:UOW524266 UYI524265:UYS524266 VIE524265:VIO524266 VSA524265:VSK524266 WBW524265:WCG524266 WLS524265:WMC524266 WVO524265:WVY524266 G589801:Q589802 JC589801:JM589802 SY589801:TI589802 ACU589801:ADE589802 AMQ589801:ANA589802 AWM589801:AWW589802 BGI589801:BGS589802 BQE589801:BQO589802 CAA589801:CAK589802 CJW589801:CKG589802 CTS589801:CUC589802 DDO589801:DDY589802 DNK589801:DNU589802 DXG589801:DXQ589802 EHC589801:EHM589802 EQY589801:ERI589802 FAU589801:FBE589802 FKQ589801:FLA589802 FUM589801:FUW589802 GEI589801:GES589802 GOE589801:GOO589802 GYA589801:GYK589802 HHW589801:HIG589802 HRS589801:HSC589802 IBO589801:IBY589802 ILK589801:ILU589802 IVG589801:IVQ589802 JFC589801:JFM589802 JOY589801:JPI589802 JYU589801:JZE589802 KIQ589801:KJA589802 KSM589801:KSW589802 LCI589801:LCS589802 LME589801:LMO589802 LWA589801:LWK589802 MFW589801:MGG589802 MPS589801:MQC589802 MZO589801:MZY589802 NJK589801:NJU589802 NTG589801:NTQ589802 ODC589801:ODM589802 OMY589801:ONI589802 OWU589801:OXE589802 PGQ589801:PHA589802 PQM589801:PQW589802 QAI589801:QAS589802 QKE589801:QKO589802 QUA589801:QUK589802 RDW589801:REG589802 RNS589801:ROC589802 RXO589801:RXY589802 SHK589801:SHU589802 SRG589801:SRQ589802 TBC589801:TBM589802 TKY589801:TLI589802 TUU589801:TVE589802 UEQ589801:UFA589802 UOM589801:UOW589802 UYI589801:UYS589802 VIE589801:VIO589802 VSA589801:VSK589802 WBW589801:WCG589802 WLS589801:WMC589802 WVO589801:WVY589802 G655337:Q655338 JC655337:JM655338 SY655337:TI655338 ACU655337:ADE655338 AMQ655337:ANA655338 AWM655337:AWW655338 BGI655337:BGS655338 BQE655337:BQO655338 CAA655337:CAK655338 CJW655337:CKG655338 CTS655337:CUC655338 DDO655337:DDY655338 DNK655337:DNU655338 DXG655337:DXQ655338 EHC655337:EHM655338 EQY655337:ERI655338 FAU655337:FBE655338 FKQ655337:FLA655338 FUM655337:FUW655338 GEI655337:GES655338 GOE655337:GOO655338 GYA655337:GYK655338 HHW655337:HIG655338 HRS655337:HSC655338 IBO655337:IBY655338 ILK655337:ILU655338 IVG655337:IVQ655338 JFC655337:JFM655338 JOY655337:JPI655338 JYU655337:JZE655338 KIQ655337:KJA655338 KSM655337:KSW655338 LCI655337:LCS655338 LME655337:LMO655338 LWA655337:LWK655338 MFW655337:MGG655338 MPS655337:MQC655338 MZO655337:MZY655338 NJK655337:NJU655338 NTG655337:NTQ655338 ODC655337:ODM655338 OMY655337:ONI655338 OWU655337:OXE655338 PGQ655337:PHA655338 PQM655337:PQW655338 QAI655337:QAS655338 QKE655337:QKO655338 QUA655337:QUK655338 RDW655337:REG655338 RNS655337:ROC655338 RXO655337:RXY655338 SHK655337:SHU655338 SRG655337:SRQ655338 TBC655337:TBM655338 TKY655337:TLI655338 TUU655337:TVE655338 UEQ655337:UFA655338 UOM655337:UOW655338 UYI655337:UYS655338 VIE655337:VIO655338 VSA655337:VSK655338 WBW655337:WCG655338 WLS655337:WMC655338 WVO655337:WVY655338 G720873:Q720874 JC720873:JM720874 SY720873:TI720874 ACU720873:ADE720874 AMQ720873:ANA720874 AWM720873:AWW720874 BGI720873:BGS720874 BQE720873:BQO720874 CAA720873:CAK720874 CJW720873:CKG720874 CTS720873:CUC720874 DDO720873:DDY720874 DNK720873:DNU720874 DXG720873:DXQ720874 EHC720873:EHM720874 EQY720873:ERI720874 FAU720873:FBE720874 FKQ720873:FLA720874 FUM720873:FUW720874 GEI720873:GES720874 GOE720873:GOO720874 GYA720873:GYK720874 HHW720873:HIG720874 HRS720873:HSC720874 IBO720873:IBY720874 ILK720873:ILU720874 IVG720873:IVQ720874 JFC720873:JFM720874 JOY720873:JPI720874 JYU720873:JZE720874 KIQ720873:KJA720874 KSM720873:KSW720874 LCI720873:LCS720874 LME720873:LMO720874 LWA720873:LWK720874 MFW720873:MGG720874 MPS720873:MQC720874 MZO720873:MZY720874 NJK720873:NJU720874 NTG720873:NTQ720874 ODC720873:ODM720874 OMY720873:ONI720874 OWU720873:OXE720874 PGQ720873:PHA720874 PQM720873:PQW720874 QAI720873:QAS720874 QKE720873:QKO720874 QUA720873:QUK720874 RDW720873:REG720874 RNS720873:ROC720874 RXO720873:RXY720874 SHK720873:SHU720874 SRG720873:SRQ720874 TBC720873:TBM720874 TKY720873:TLI720874 TUU720873:TVE720874 UEQ720873:UFA720874 UOM720873:UOW720874 UYI720873:UYS720874 VIE720873:VIO720874 VSA720873:VSK720874 WBW720873:WCG720874 WLS720873:WMC720874 WVO720873:WVY720874 G786409:Q786410 JC786409:JM786410 SY786409:TI786410 ACU786409:ADE786410 AMQ786409:ANA786410 AWM786409:AWW786410 BGI786409:BGS786410 BQE786409:BQO786410 CAA786409:CAK786410 CJW786409:CKG786410 CTS786409:CUC786410 DDO786409:DDY786410 DNK786409:DNU786410 DXG786409:DXQ786410 EHC786409:EHM786410 EQY786409:ERI786410 FAU786409:FBE786410 FKQ786409:FLA786410 FUM786409:FUW786410 GEI786409:GES786410 GOE786409:GOO786410 GYA786409:GYK786410 HHW786409:HIG786410 HRS786409:HSC786410 IBO786409:IBY786410 ILK786409:ILU786410 IVG786409:IVQ786410 JFC786409:JFM786410 JOY786409:JPI786410 JYU786409:JZE786410 KIQ786409:KJA786410 KSM786409:KSW786410 LCI786409:LCS786410 LME786409:LMO786410 LWA786409:LWK786410 MFW786409:MGG786410 MPS786409:MQC786410 MZO786409:MZY786410 NJK786409:NJU786410 NTG786409:NTQ786410 ODC786409:ODM786410 OMY786409:ONI786410 OWU786409:OXE786410 PGQ786409:PHA786410 PQM786409:PQW786410 QAI786409:QAS786410 QKE786409:QKO786410 QUA786409:QUK786410 RDW786409:REG786410 RNS786409:ROC786410 RXO786409:RXY786410 SHK786409:SHU786410 SRG786409:SRQ786410 TBC786409:TBM786410 TKY786409:TLI786410 TUU786409:TVE786410 UEQ786409:UFA786410 UOM786409:UOW786410 UYI786409:UYS786410 VIE786409:VIO786410 VSA786409:VSK786410 WBW786409:WCG786410 WLS786409:WMC786410 WVO786409:WVY786410 G851945:Q851946 JC851945:JM851946 SY851945:TI851946 ACU851945:ADE851946 AMQ851945:ANA851946 AWM851945:AWW851946 BGI851945:BGS851946 BQE851945:BQO851946 CAA851945:CAK851946 CJW851945:CKG851946 CTS851945:CUC851946 DDO851945:DDY851946 DNK851945:DNU851946 DXG851945:DXQ851946 EHC851945:EHM851946 EQY851945:ERI851946 FAU851945:FBE851946 FKQ851945:FLA851946 FUM851945:FUW851946 GEI851945:GES851946 GOE851945:GOO851946 GYA851945:GYK851946 HHW851945:HIG851946 HRS851945:HSC851946 IBO851945:IBY851946 ILK851945:ILU851946 IVG851945:IVQ851946 JFC851945:JFM851946 JOY851945:JPI851946 JYU851945:JZE851946 KIQ851945:KJA851946 KSM851945:KSW851946 LCI851945:LCS851946 LME851945:LMO851946 LWA851945:LWK851946 MFW851945:MGG851946 MPS851945:MQC851946 MZO851945:MZY851946 NJK851945:NJU851946 NTG851945:NTQ851946 ODC851945:ODM851946 OMY851945:ONI851946 OWU851945:OXE851946 PGQ851945:PHA851946 PQM851945:PQW851946 QAI851945:QAS851946 QKE851945:QKO851946 QUA851945:QUK851946 RDW851945:REG851946 RNS851945:ROC851946 RXO851945:RXY851946 SHK851945:SHU851946 SRG851945:SRQ851946 TBC851945:TBM851946 TKY851945:TLI851946 TUU851945:TVE851946 UEQ851945:UFA851946 UOM851945:UOW851946 UYI851945:UYS851946 VIE851945:VIO851946 VSA851945:VSK851946 WBW851945:WCG851946 WLS851945:WMC851946 WVO851945:WVY851946 G917481:Q917482 JC917481:JM917482 SY917481:TI917482 ACU917481:ADE917482 AMQ917481:ANA917482 AWM917481:AWW917482 BGI917481:BGS917482 BQE917481:BQO917482 CAA917481:CAK917482 CJW917481:CKG917482 CTS917481:CUC917482 DDO917481:DDY917482 DNK917481:DNU917482 DXG917481:DXQ917482 EHC917481:EHM917482 EQY917481:ERI917482 FAU917481:FBE917482 FKQ917481:FLA917482 FUM917481:FUW917482 GEI917481:GES917482 GOE917481:GOO917482 GYA917481:GYK917482 HHW917481:HIG917482 HRS917481:HSC917482 IBO917481:IBY917482 ILK917481:ILU917482 IVG917481:IVQ917482 JFC917481:JFM917482 JOY917481:JPI917482 JYU917481:JZE917482 KIQ917481:KJA917482 KSM917481:KSW917482 LCI917481:LCS917482 LME917481:LMO917482 LWA917481:LWK917482 MFW917481:MGG917482 MPS917481:MQC917482 MZO917481:MZY917482 NJK917481:NJU917482 NTG917481:NTQ917482 ODC917481:ODM917482 OMY917481:ONI917482 OWU917481:OXE917482 PGQ917481:PHA917482 PQM917481:PQW917482 QAI917481:QAS917482 QKE917481:QKO917482 QUA917481:QUK917482 RDW917481:REG917482 RNS917481:ROC917482 RXO917481:RXY917482 SHK917481:SHU917482 SRG917481:SRQ917482 TBC917481:TBM917482 TKY917481:TLI917482 TUU917481:TVE917482 UEQ917481:UFA917482 UOM917481:UOW917482 UYI917481:UYS917482 VIE917481:VIO917482 VSA917481:VSK917482 WBW917481:WCG917482 WLS917481:WMC917482 WVO917481:WVY917482 G983017:Q983018 JC983017:JM983018 SY983017:TI983018 ACU983017:ADE983018 AMQ983017:ANA983018 AWM983017:AWW983018 BGI983017:BGS983018 BQE983017:BQO983018 CAA983017:CAK983018 CJW983017:CKG983018 CTS983017:CUC983018 DDO983017:DDY983018 DNK983017:DNU983018 DXG983017:DXQ983018 EHC983017:EHM983018 EQY983017:ERI983018 FAU983017:FBE983018 FKQ983017:FLA983018 FUM983017:FUW983018 GEI983017:GES983018 GOE983017:GOO983018 GYA983017:GYK983018 HHW983017:HIG983018 HRS983017:HSC983018 IBO983017:IBY983018 ILK983017:ILU983018 IVG983017:IVQ983018 JFC983017:JFM983018 JOY983017:JPI983018 JYU983017:JZE983018 KIQ983017:KJA983018 KSM983017:KSW983018 LCI983017:LCS983018 LME983017:LMO983018 LWA983017:LWK983018 MFW983017:MGG983018 MPS983017:MQC983018 MZO983017:MZY983018 NJK983017:NJU983018 NTG983017:NTQ983018 ODC983017:ODM983018 OMY983017:ONI983018 OWU983017:OXE983018 PGQ983017:PHA983018 PQM983017:PQW983018 QAI983017:QAS983018 QKE983017:QKO983018 QUA983017:QUK983018 RDW983017:REG983018 RNS983017:ROC983018 RXO983017:RXY983018 SHK983017:SHU983018 SRG983017:SRQ983018 TBC983017:TBM983018 TKY983017:TLI983018 TUU983017:TVE983018 UEQ983017:UFA983018 UOM983017:UOW983018 UYI983017:UYS983018 VIE983017:VIO983018 VSA983017:VSK983018 WBW983017:WCG983018 WLS983017:WMC983018 WVO983017:WVY983018 H65581:Q65585 JD65581:JM65585 SZ65581:TI65585 ACV65581:ADE65585 AMR65581:ANA65585 AWN65581:AWW65585 BGJ65581:BGS65585 BQF65581:BQO65585 CAB65581:CAK65585 CJX65581:CKG65585 CTT65581:CUC65585 DDP65581:DDY65585 DNL65581:DNU65585 DXH65581:DXQ65585 EHD65581:EHM65585 EQZ65581:ERI65585 FAV65581:FBE65585 FKR65581:FLA65585 FUN65581:FUW65585 GEJ65581:GES65585 GOF65581:GOO65585 GYB65581:GYK65585 HHX65581:HIG65585 HRT65581:HSC65585 IBP65581:IBY65585 ILL65581:ILU65585 IVH65581:IVQ65585 JFD65581:JFM65585 JOZ65581:JPI65585 JYV65581:JZE65585 KIR65581:KJA65585 KSN65581:KSW65585 LCJ65581:LCS65585 LMF65581:LMO65585 LWB65581:LWK65585 MFX65581:MGG65585 MPT65581:MQC65585 MZP65581:MZY65585 NJL65581:NJU65585 NTH65581:NTQ65585 ODD65581:ODM65585 OMZ65581:ONI65585 OWV65581:OXE65585 PGR65581:PHA65585 PQN65581:PQW65585 QAJ65581:QAS65585 QKF65581:QKO65585 QUB65581:QUK65585 RDX65581:REG65585 RNT65581:ROC65585 RXP65581:RXY65585 SHL65581:SHU65585 SRH65581:SRQ65585 TBD65581:TBM65585 TKZ65581:TLI65585 TUV65581:TVE65585 UER65581:UFA65585 UON65581:UOW65585 UYJ65581:UYS65585 VIF65581:VIO65585 VSB65581:VSK65585 WBX65581:WCG65585 WLT65581:WMC65585 WVP65581:WVY65585 H131117:Q131121 JD131117:JM131121 SZ131117:TI131121 ACV131117:ADE131121 AMR131117:ANA131121 AWN131117:AWW131121 BGJ131117:BGS131121 BQF131117:BQO131121 CAB131117:CAK131121 CJX131117:CKG131121 CTT131117:CUC131121 DDP131117:DDY131121 DNL131117:DNU131121 DXH131117:DXQ131121 EHD131117:EHM131121 EQZ131117:ERI131121 FAV131117:FBE131121 FKR131117:FLA131121 FUN131117:FUW131121 GEJ131117:GES131121 GOF131117:GOO131121 GYB131117:GYK131121 HHX131117:HIG131121 HRT131117:HSC131121 IBP131117:IBY131121 ILL131117:ILU131121 IVH131117:IVQ131121 JFD131117:JFM131121 JOZ131117:JPI131121 JYV131117:JZE131121 KIR131117:KJA131121 KSN131117:KSW131121 LCJ131117:LCS131121 LMF131117:LMO131121 LWB131117:LWK131121 MFX131117:MGG131121 MPT131117:MQC131121 MZP131117:MZY131121 NJL131117:NJU131121 NTH131117:NTQ131121 ODD131117:ODM131121 OMZ131117:ONI131121 OWV131117:OXE131121 PGR131117:PHA131121 PQN131117:PQW131121 QAJ131117:QAS131121 QKF131117:QKO131121 QUB131117:QUK131121 RDX131117:REG131121 RNT131117:ROC131121 RXP131117:RXY131121 SHL131117:SHU131121 SRH131117:SRQ131121 TBD131117:TBM131121 TKZ131117:TLI131121 TUV131117:TVE131121 UER131117:UFA131121 UON131117:UOW131121 UYJ131117:UYS131121 VIF131117:VIO131121 VSB131117:VSK131121 WBX131117:WCG131121 WLT131117:WMC131121 WVP131117:WVY131121 H196653:Q196657 JD196653:JM196657 SZ196653:TI196657 ACV196653:ADE196657 AMR196653:ANA196657 AWN196653:AWW196657 BGJ196653:BGS196657 BQF196653:BQO196657 CAB196653:CAK196657 CJX196653:CKG196657 CTT196653:CUC196657 DDP196653:DDY196657 DNL196653:DNU196657 DXH196653:DXQ196657 EHD196653:EHM196657 EQZ196653:ERI196657 FAV196653:FBE196657 FKR196653:FLA196657 FUN196653:FUW196657 GEJ196653:GES196657 GOF196653:GOO196657 GYB196653:GYK196657 HHX196653:HIG196657 HRT196653:HSC196657 IBP196653:IBY196657 ILL196653:ILU196657 IVH196653:IVQ196657 JFD196653:JFM196657 JOZ196653:JPI196657 JYV196653:JZE196657 KIR196653:KJA196657 KSN196653:KSW196657 LCJ196653:LCS196657 LMF196653:LMO196657 LWB196653:LWK196657 MFX196653:MGG196657 MPT196653:MQC196657 MZP196653:MZY196657 NJL196653:NJU196657 NTH196653:NTQ196657 ODD196653:ODM196657 OMZ196653:ONI196657 OWV196653:OXE196657 PGR196653:PHA196657 PQN196653:PQW196657 QAJ196653:QAS196657 QKF196653:QKO196657 QUB196653:QUK196657 RDX196653:REG196657 RNT196653:ROC196657 RXP196653:RXY196657 SHL196653:SHU196657 SRH196653:SRQ196657 TBD196653:TBM196657 TKZ196653:TLI196657 TUV196653:TVE196657 UER196653:UFA196657 UON196653:UOW196657 UYJ196653:UYS196657 VIF196653:VIO196657 VSB196653:VSK196657 WBX196653:WCG196657 WLT196653:WMC196657 WVP196653:WVY196657 H262189:Q262193 JD262189:JM262193 SZ262189:TI262193 ACV262189:ADE262193 AMR262189:ANA262193 AWN262189:AWW262193 BGJ262189:BGS262193 BQF262189:BQO262193 CAB262189:CAK262193 CJX262189:CKG262193 CTT262189:CUC262193 DDP262189:DDY262193 DNL262189:DNU262193 DXH262189:DXQ262193 EHD262189:EHM262193 EQZ262189:ERI262193 FAV262189:FBE262193 FKR262189:FLA262193 FUN262189:FUW262193 GEJ262189:GES262193 GOF262189:GOO262193 GYB262189:GYK262193 HHX262189:HIG262193 HRT262189:HSC262193 IBP262189:IBY262193 ILL262189:ILU262193 IVH262189:IVQ262193 JFD262189:JFM262193 JOZ262189:JPI262193 JYV262189:JZE262193 KIR262189:KJA262193 KSN262189:KSW262193 LCJ262189:LCS262193 LMF262189:LMO262193 LWB262189:LWK262193 MFX262189:MGG262193 MPT262189:MQC262193 MZP262189:MZY262193 NJL262189:NJU262193 NTH262189:NTQ262193 ODD262189:ODM262193 OMZ262189:ONI262193 OWV262189:OXE262193 PGR262189:PHA262193 PQN262189:PQW262193 QAJ262189:QAS262193 QKF262189:QKO262193 QUB262189:QUK262193 RDX262189:REG262193 RNT262189:ROC262193 RXP262189:RXY262193 SHL262189:SHU262193 SRH262189:SRQ262193 TBD262189:TBM262193 TKZ262189:TLI262193 TUV262189:TVE262193 UER262189:UFA262193 UON262189:UOW262193 UYJ262189:UYS262193 VIF262189:VIO262193 VSB262189:VSK262193 WBX262189:WCG262193 WLT262189:WMC262193 WVP262189:WVY262193 H327725:Q327729 JD327725:JM327729 SZ327725:TI327729 ACV327725:ADE327729 AMR327725:ANA327729 AWN327725:AWW327729 BGJ327725:BGS327729 BQF327725:BQO327729 CAB327725:CAK327729 CJX327725:CKG327729 CTT327725:CUC327729 DDP327725:DDY327729 DNL327725:DNU327729 DXH327725:DXQ327729 EHD327725:EHM327729 EQZ327725:ERI327729 FAV327725:FBE327729 FKR327725:FLA327729 FUN327725:FUW327729 GEJ327725:GES327729 GOF327725:GOO327729 GYB327725:GYK327729 HHX327725:HIG327729 HRT327725:HSC327729 IBP327725:IBY327729 ILL327725:ILU327729 IVH327725:IVQ327729 JFD327725:JFM327729 JOZ327725:JPI327729 JYV327725:JZE327729 KIR327725:KJA327729 KSN327725:KSW327729 LCJ327725:LCS327729 LMF327725:LMO327729 LWB327725:LWK327729 MFX327725:MGG327729 MPT327725:MQC327729 MZP327725:MZY327729 NJL327725:NJU327729 NTH327725:NTQ327729 ODD327725:ODM327729 OMZ327725:ONI327729 OWV327725:OXE327729 PGR327725:PHA327729 PQN327725:PQW327729 QAJ327725:QAS327729 QKF327725:QKO327729 QUB327725:QUK327729 RDX327725:REG327729 RNT327725:ROC327729 RXP327725:RXY327729 SHL327725:SHU327729 SRH327725:SRQ327729 TBD327725:TBM327729 TKZ327725:TLI327729 TUV327725:TVE327729 UER327725:UFA327729 UON327725:UOW327729 UYJ327725:UYS327729 VIF327725:VIO327729 VSB327725:VSK327729 WBX327725:WCG327729 WLT327725:WMC327729 WVP327725:WVY327729 H393261:Q393265 JD393261:JM393265 SZ393261:TI393265 ACV393261:ADE393265 AMR393261:ANA393265 AWN393261:AWW393265 BGJ393261:BGS393265 BQF393261:BQO393265 CAB393261:CAK393265 CJX393261:CKG393265 CTT393261:CUC393265 DDP393261:DDY393265 DNL393261:DNU393265 DXH393261:DXQ393265 EHD393261:EHM393265 EQZ393261:ERI393265 FAV393261:FBE393265 FKR393261:FLA393265 FUN393261:FUW393265 GEJ393261:GES393265 GOF393261:GOO393265 GYB393261:GYK393265 HHX393261:HIG393265 HRT393261:HSC393265 IBP393261:IBY393265 ILL393261:ILU393265 IVH393261:IVQ393265 JFD393261:JFM393265 JOZ393261:JPI393265 JYV393261:JZE393265 KIR393261:KJA393265 KSN393261:KSW393265 LCJ393261:LCS393265 LMF393261:LMO393265 LWB393261:LWK393265 MFX393261:MGG393265 MPT393261:MQC393265 MZP393261:MZY393265 NJL393261:NJU393265 NTH393261:NTQ393265 ODD393261:ODM393265 OMZ393261:ONI393265 OWV393261:OXE393265 PGR393261:PHA393265 PQN393261:PQW393265 QAJ393261:QAS393265 QKF393261:QKO393265 QUB393261:QUK393265 RDX393261:REG393265 RNT393261:ROC393265 RXP393261:RXY393265 SHL393261:SHU393265 SRH393261:SRQ393265 TBD393261:TBM393265 TKZ393261:TLI393265 TUV393261:TVE393265 UER393261:UFA393265 UON393261:UOW393265 UYJ393261:UYS393265 VIF393261:VIO393265 VSB393261:VSK393265 WBX393261:WCG393265 WLT393261:WMC393265 WVP393261:WVY393265 H458797:Q458801 JD458797:JM458801 SZ458797:TI458801 ACV458797:ADE458801 AMR458797:ANA458801 AWN458797:AWW458801 BGJ458797:BGS458801 BQF458797:BQO458801 CAB458797:CAK458801 CJX458797:CKG458801 CTT458797:CUC458801 DDP458797:DDY458801 DNL458797:DNU458801 DXH458797:DXQ458801 EHD458797:EHM458801 EQZ458797:ERI458801 FAV458797:FBE458801 FKR458797:FLA458801 FUN458797:FUW458801 GEJ458797:GES458801 GOF458797:GOO458801 GYB458797:GYK458801 HHX458797:HIG458801 HRT458797:HSC458801 IBP458797:IBY458801 ILL458797:ILU458801 IVH458797:IVQ458801 JFD458797:JFM458801 JOZ458797:JPI458801 JYV458797:JZE458801 KIR458797:KJA458801 KSN458797:KSW458801 LCJ458797:LCS458801 LMF458797:LMO458801 LWB458797:LWK458801 MFX458797:MGG458801 MPT458797:MQC458801 MZP458797:MZY458801 NJL458797:NJU458801 NTH458797:NTQ458801 ODD458797:ODM458801 OMZ458797:ONI458801 OWV458797:OXE458801 PGR458797:PHA458801 PQN458797:PQW458801 QAJ458797:QAS458801 QKF458797:QKO458801 QUB458797:QUK458801 RDX458797:REG458801 RNT458797:ROC458801 RXP458797:RXY458801 SHL458797:SHU458801 SRH458797:SRQ458801 TBD458797:TBM458801 TKZ458797:TLI458801 TUV458797:TVE458801 UER458797:UFA458801 UON458797:UOW458801 UYJ458797:UYS458801 VIF458797:VIO458801 VSB458797:VSK458801 WBX458797:WCG458801 WLT458797:WMC458801 WVP458797:WVY458801 H524333:Q524337 JD524333:JM524337 SZ524333:TI524337 ACV524333:ADE524337 AMR524333:ANA524337 AWN524333:AWW524337 BGJ524333:BGS524337 BQF524333:BQO524337 CAB524333:CAK524337 CJX524333:CKG524337 CTT524333:CUC524337 DDP524333:DDY524337 DNL524333:DNU524337 DXH524333:DXQ524337 EHD524333:EHM524337 EQZ524333:ERI524337 FAV524333:FBE524337 FKR524333:FLA524337 FUN524333:FUW524337 GEJ524333:GES524337 GOF524333:GOO524337 GYB524333:GYK524337 HHX524333:HIG524337 HRT524333:HSC524337 IBP524333:IBY524337 ILL524333:ILU524337 IVH524333:IVQ524337 JFD524333:JFM524337 JOZ524333:JPI524337 JYV524333:JZE524337 KIR524333:KJA524337 KSN524333:KSW524337 LCJ524333:LCS524337 LMF524333:LMO524337 LWB524333:LWK524337 MFX524333:MGG524337 MPT524333:MQC524337 MZP524333:MZY524337 NJL524333:NJU524337 NTH524333:NTQ524337 ODD524333:ODM524337 OMZ524333:ONI524337 OWV524333:OXE524337 PGR524333:PHA524337 PQN524333:PQW524337 QAJ524333:QAS524337 QKF524333:QKO524337 QUB524333:QUK524337 RDX524333:REG524337 RNT524333:ROC524337 RXP524333:RXY524337 SHL524333:SHU524337 SRH524333:SRQ524337 TBD524333:TBM524337 TKZ524333:TLI524337 TUV524333:TVE524337 UER524333:UFA524337 UON524333:UOW524337 UYJ524333:UYS524337 VIF524333:VIO524337 VSB524333:VSK524337 WBX524333:WCG524337 WLT524333:WMC524337 WVP524333:WVY524337 H589869:Q589873 JD589869:JM589873 SZ589869:TI589873 ACV589869:ADE589873 AMR589869:ANA589873 AWN589869:AWW589873 BGJ589869:BGS589873 BQF589869:BQO589873 CAB589869:CAK589873 CJX589869:CKG589873 CTT589869:CUC589873 DDP589869:DDY589873 DNL589869:DNU589873 DXH589869:DXQ589873 EHD589869:EHM589873 EQZ589869:ERI589873 FAV589869:FBE589873 FKR589869:FLA589873 FUN589869:FUW589873 GEJ589869:GES589873 GOF589869:GOO589873 GYB589869:GYK589873 HHX589869:HIG589873 HRT589869:HSC589873 IBP589869:IBY589873 ILL589869:ILU589873 IVH589869:IVQ589873 JFD589869:JFM589873 JOZ589869:JPI589873 JYV589869:JZE589873 KIR589869:KJA589873 KSN589869:KSW589873 LCJ589869:LCS589873 LMF589869:LMO589873 LWB589869:LWK589873 MFX589869:MGG589873 MPT589869:MQC589873 MZP589869:MZY589873 NJL589869:NJU589873 NTH589869:NTQ589873 ODD589869:ODM589873 OMZ589869:ONI589873 OWV589869:OXE589873 PGR589869:PHA589873 PQN589869:PQW589873 QAJ589869:QAS589873 QKF589869:QKO589873 QUB589869:QUK589873 RDX589869:REG589873 RNT589869:ROC589873 RXP589869:RXY589873 SHL589869:SHU589873 SRH589869:SRQ589873 TBD589869:TBM589873 TKZ589869:TLI589873 TUV589869:TVE589873 UER589869:UFA589873 UON589869:UOW589873 UYJ589869:UYS589873 VIF589869:VIO589873 VSB589869:VSK589873 WBX589869:WCG589873 WLT589869:WMC589873 WVP589869:WVY589873 H655405:Q655409 JD655405:JM655409 SZ655405:TI655409 ACV655405:ADE655409 AMR655405:ANA655409 AWN655405:AWW655409 BGJ655405:BGS655409 BQF655405:BQO655409 CAB655405:CAK655409 CJX655405:CKG655409 CTT655405:CUC655409 DDP655405:DDY655409 DNL655405:DNU655409 DXH655405:DXQ655409 EHD655405:EHM655409 EQZ655405:ERI655409 FAV655405:FBE655409 FKR655405:FLA655409 FUN655405:FUW655409 GEJ655405:GES655409 GOF655405:GOO655409 GYB655405:GYK655409 HHX655405:HIG655409 HRT655405:HSC655409 IBP655405:IBY655409 ILL655405:ILU655409 IVH655405:IVQ655409 JFD655405:JFM655409 JOZ655405:JPI655409 JYV655405:JZE655409 KIR655405:KJA655409 KSN655405:KSW655409 LCJ655405:LCS655409 LMF655405:LMO655409 LWB655405:LWK655409 MFX655405:MGG655409 MPT655405:MQC655409 MZP655405:MZY655409 NJL655405:NJU655409 NTH655405:NTQ655409 ODD655405:ODM655409 OMZ655405:ONI655409 OWV655405:OXE655409 PGR655405:PHA655409 PQN655405:PQW655409 QAJ655405:QAS655409 QKF655405:QKO655409 QUB655405:QUK655409 RDX655405:REG655409 RNT655405:ROC655409 RXP655405:RXY655409 SHL655405:SHU655409 SRH655405:SRQ655409 TBD655405:TBM655409 TKZ655405:TLI655409 TUV655405:TVE655409 UER655405:UFA655409 UON655405:UOW655409 UYJ655405:UYS655409 VIF655405:VIO655409 VSB655405:VSK655409 WBX655405:WCG655409 WLT655405:WMC655409 WVP655405:WVY655409 H720941:Q720945 JD720941:JM720945 SZ720941:TI720945 ACV720941:ADE720945 AMR720941:ANA720945 AWN720941:AWW720945 BGJ720941:BGS720945 BQF720941:BQO720945 CAB720941:CAK720945 CJX720941:CKG720945 CTT720941:CUC720945 DDP720941:DDY720945 DNL720941:DNU720945 DXH720941:DXQ720945 EHD720941:EHM720945 EQZ720941:ERI720945 FAV720941:FBE720945 FKR720941:FLA720945 FUN720941:FUW720945 GEJ720941:GES720945 GOF720941:GOO720945 GYB720941:GYK720945 HHX720941:HIG720945 HRT720941:HSC720945 IBP720941:IBY720945 ILL720941:ILU720945 IVH720941:IVQ720945 JFD720941:JFM720945 JOZ720941:JPI720945 JYV720941:JZE720945 KIR720941:KJA720945 KSN720941:KSW720945 LCJ720941:LCS720945 LMF720941:LMO720945 LWB720941:LWK720945 MFX720941:MGG720945 MPT720941:MQC720945 MZP720941:MZY720945 NJL720941:NJU720945 NTH720941:NTQ720945 ODD720941:ODM720945 OMZ720941:ONI720945 OWV720941:OXE720945 PGR720941:PHA720945 PQN720941:PQW720945 QAJ720941:QAS720945 QKF720941:QKO720945 QUB720941:QUK720945 RDX720941:REG720945 RNT720941:ROC720945 RXP720941:RXY720945 SHL720941:SHU720945 SRH720941:SRQ720945 TBD720941:TBM720945 TKZ720941:TLI720945 TUV720941:TVE720945 UER720941:UFA720945 UON720941:UOW720945 UYJ720941:UYS720945 VIF720941:VIO720945 VSB720941:VSK720945 WBX720941:WCG720945 WLT720941:WMC720945 WVP720941:WVY720945 H786477:Q786481 JD786477:JM786481 SZ786477:TI786481 ACV786477:ADE786481 AMR786477:ANA786481 AWN786477:AWW786481 BGJ786477:BGS786481 BQF786477:BQO786481 CAB786477:CAK786481 CJX786477:CKG786481 CTT786477:CUC786481 DDP786477:DDY786481 DNL786477:DNU786481 DXH786477:DXQ786481 EHD786477:EHM786481 EQZ786477:ERI786481 FAV786477:FBE786481 FKR786477:FLA786481 FUN786477:FUW786481 GEJ786477:GES786481 GOF786477:GOO786481 GYB786477:GYK786481 HHX786477:HIG786481 HRT786477:HSC786481 IBP786477:IBY786481 ILL786477:ILU786481 IVH786477:IVQ786481 JFD786477:JFM786481 JOZ786477:JPI786481 JYV786477:JZE786481 KIR786477:KJA786481 KSN786477:KSW786481 LCJ786477:LCS786481 LMF786477:LMO786481 LWB786477:LWK786481 MFX786477:MGG786481 MPT786477:MQC786481 MZP786477:MZY786481 NJL786477:NJU786481 NTH786477:NTQ786481 ODD786477:ODM786481 OMZ786477:ONI786481 OWV786477:OXE786481 PGR786477:PHA786481 PQN786477:PQW786481 QAJ786477:QAS786481 QKF786477:QKO786481 QUB786477:QUK786481 RDX786477:REG786481 RNT786477:ROC786481 RXP786477:RXY786481 SHL786477:SHU786481 SRH786477:SRQ786481 TBD786477:TBM786481 TKZ786477:TLI786481 TUV786477:TVE786481 UER786477:UFA786481 UON786477:UOW786481 UYJ786477:UYS786481 VIF786477:VIO786481 VSB786477:VSK786481 WBX786477:WCG786481 WLT786477:WMC786481 WVP786477:WVY786481 H852013:Q852017 JD852013:JM852017 SZ852013:TI852017 ACV852013:ADE852017 AMR852013:ANA852017 AWN852013:AWW852017 BGJ852013:BGS852017 BQF852013:BQO852017 CAB852013:CAK852017 CJX852013:CKG852017 CTT852013:CUC852017 DDP852013:DDY852017 DNL852013:DNU852017 DXH852013:DXQ852017 EHD852013:EHM852017 EQZ852013:ERI852017 FAV852013:FBE852017 FKR852013:FLA852017 FUN852013:FUW852017 GEJ852013:GES852017 GOF852013:GOO852017 GYB852013:GYK852017 HHX852013:HIG852017 HRT852013:HSC852017 IBP852013:IBY852017 ILL852013:ILU852017 IVH852013:IVQ852017 JFD852013:JFM852017 JOZ852013:JPI852017 JYV852013:JZE852017 KIR852013:KJA852017 KSN852013:KSW852017 LCJ852013:LCS852017 LMF852013:LMO852017 LWB852013:LWK852017 MFX852013:MGG852017 MPT852013:MQC852017 MZP852013:MZY852017 NJL852013:NJU852017 NTH852013:NTQ852017 ODD852013:ODM852017 OMZ852013:ONI852017 OWV852013:OXE852017 PGR852013:PHA852017 PQN852013:PQW852017 QAJ852013:QAS852017 QKF852013:QKO852017 QUB852013:QUK852017 RDX852013:REG852017 RNT852013:ROC852017 RXP852013:RXY852017 SHL852013:SHU852017 SRH852013:SRQ852017 TBD852013:TBM852017 TKZ852013:TLI852017 TUV852013:TVE852017 UER852013:UFA852017 UON852013:UOW852017 UYJ852013:UYS852017 VIF852013:VIO852017 VSB852013:VSK852017 WBX852013:WCG852017 WLT852013:WMC852017 WVP852013:WVY852017 H917549:Q917553 JD917549:JM917553 SZ917549:TI917553 ACV917549:ADE917553 AMR917549:ANA917553 AWN917549:AWW917553 BGJ917549:BGS917553 BQF917549:BQO917553 CAB917549:CAK917553 CJX917549:CKG917553 CTT917549:CUC917553 DDP917549:DDY917553 DNL917549:DNU917553 DXH917549:DXQ917553 EHD917549:EHM917553 EQZ917549:ERI917553 FAV917549:FBE917553 FKR917549:FLA917553 FUN917549:FUW917553 GEJ917549:GES917553 GOF917549:GOO917553 GYB917549:GYK917553 HHX917549:HIG917553 HRT917549:HSC917553 IBP917549:IBY917553 ILL917549:ILU917553 IVH917549:IVQ917553 JFD917549:JFM917553 JOZ917549:JPI917553 JYV917549:JZE917553 KIR917549:KJA917553 KSN917549:KSW917553 LCJ917549:LCS917553 LMF917549:LMO917553 LWB917549:LWK917553 MFX917549:MGG917553 MPT917549:MQC917553 MZP917549:MZY917553 NJL917549:NJU917553 NTH917549:NTQ917553 ODD917549:ODM917553 OMZ917549:ONI917553 OWV917549:OXE917553 PGR917549:PHA917553 PQN917549:PQW917553 QAJ917549:QAS917553 QKF917549:QKO917553 QUB917549:QUK917553 RDX917549:REG917553 RNT917549:ROC917553 RXP917549:RXY917553 SHL917549:SHU917553 SRH917549:SRQ917553 TBD917549:TBM917553 TKZ917549:TLI917553 TUV917549:TVE917553 UER917549:UFA917553 UON917549:UOW917553 UYJ917549:UYS917553 VIF917549:VIO917553 VSB917549:VSK917553 WBX917549:WCG917553 WLT917549:WMC917553 WVP917549:WVY917553 H983085:Q983089 JD983085:JM983089 SZ983085:TI983089 ACV983085:ADE983089 AMR983085:ANA983089 AWN983085:AWW983089 BGJ983085:BGS983089 BQF983085:BQO983089 CAB983085:CAK983089 CJX983085:CKG983089 CTT983085:CUC983089 DDP983085:DDY983089 DNL983085:DNU983089 DXH983085:DXQ983089 EHD983085:EHM983089 EQZ983085:ERI983089 FAV983085:FBE983089 FKR983085:FLA983089 FUN983085:FUW983089 GEJ983085:GES983089 GOF983085:GOO983089 GYB983085:GYK983089 HHX983085:HIG983089 HRT983085:HSC983089 IBP983085:IBY983089 ILL983085:ILU983089 IVH983085:IVQ983089 JFD983085:JFM983089 JOZ983085:JPI983089 JYV983085:JZE983089 KIR983085:KJA983089 KSN983085:KSW983089 LCJ983085:LCS983089 LMF983085:LMO983089 LWB983085:LWK983089 MFX983085:MGG983089 MPT983085:MQC983089 MZP983085:MZY983089 NJL983085:NJU983089 NTH983085:NTQ983089 ODD983085:ODM983089 OMZ983085:ONI983089 OWV983085:OXE983089 PGR983085:PHA983089 PQN983085:PQW983089 QAJ983085:QAS983089 QKF983085:QKO983089 QUB983085:QUK983089 RDX983085:REG983089 RNT983085:ROC983089 RXP983085:RXY983089 SHL983085:SHU983089 SRH983085:SRQ983089 TBD983085:TBM983089 TKZ983085:TLI983089 TUV983085:TVE983089 UER983085:UFA983089 UON983085:UOW983089 UYJ983085:UYS983089 VIF983085:VIO983089 VSB983085:VSK983089 WBX983085:WCG983089 WLT983085:WMC983089 WVP983085:WVY983089 G17:P17 JD38:JL38 SZ38:TH38 ACV38:ADD38 AMR38:AMZ38 AWN38:AWV38 BGJ38:BGR38 BQF38:BQN38 CAB38:CAJ38 CJX38:CKF38 CTT38:CUB38 DDP38:DDX38 DNL38:DNT38 DXH38:DXP38 EHD38:EHL38 EQZ38:ERH38 FAV38:FBD38 FKR38:FKZ38 FUN38:FUV38 GEJ38:GER38 GOF38:GON38 GYB38:GYJ38 HHX38:HIF38 HRT38:HSB38 IBP38:IBX38 ILL38:ILT38 IVH38:IVP38 JFD38:JFL38 JOZ38:JPH38 JYV38:JZD38 KIR38:KIZ38 KSN38:KSV38 LCJ38:LCR38 LMF38:LMN38 LWB38:LWJ38 MFX38:MGF38 MPT38:MQB38 MZP38:MZX38 NJL38:NJT38 NTH38:NTP38 ODD38:ODL38 OMZ38:ONH38 OWV38:OXD38 PGR38:PGZ38 PQN38:PQV38 QAJ38:QAR38 QKF38:QKN38 QUB38:QUJ38 RDX38:REF38 RNT38:ROB38 RXP38:RXX38 SHL38:SHT38 SRH38:SRP38 TBD38:TBL38 TKZ38:TLH38 TUV38:TVD38 UER38:UEZ38 UON38:UOV38 UYJ38:UYR38 VIF38:VIN38 VSB38:VSJ38 WBX38:WCF38 WLT38:WMB38 WVP38:WVX38 H65510:P65510 JD65510:JL65510 SZ65510:TH65510 ACV65510:ADD65510 AMR65510:AMZ65510 AWN65510:AWV65510 BGJ65510:BGR65510 BQF65510:BQN65510 CAB65510:CAJ65510 CJX65510:CKF65510 CTT65510:CUB65510 DDP65510:DDX65510 DNL65510:DNT65510 DXH65510:DXP65510 EHD65510:EHL65510 EQZ65510:ERH65510 FAV65510:FBD65510 FKR65510:FKZ65510 FUN65510:FUV65510 GEJ65510:GER65510 GOF65510:GON65510 GYB65510:GYJ65510 HHX65510:HIF65510 HRT65510:HSB65510 IBP65510:IBX65510 ILL65510:ILT65510 IVH65510:IVP65510 JFD65510:JFL65510 JOZ65510:JPH65510 JYV65510:JZD65510 KIR65510:KIZ65510 KSN65510:KSV65510 LCJ65510:LCR65510 LMF65510:LMN65510 LWB65510:LWJ65510 MFX65510:MGF65510 MPT65510:MQB65510 MZP65510:MZX65510 NJL65510:NJT65510 NTH65510:NTP65510 ODD65510:ODL65510 OMZ65510:ONH65510 OWV65510:OXD65510 PGR65510:PGZ65510 PQN65510:PQV65510 QAJ65510:QAR65510 QKF65510:QKN65510 QUB65510:QUJ65510 RDX65510:REF65510 RNT65510:ROB65510 RXP65510:RXX65510 SHL65510:SHT65510 SRH65510:SRP65510 TBD65510:TBL65510 TKZ65510:TLH65510 TUV65510:TVD65510 UER65510:UEZ65510 UON65510:UOV65510 UYJ65510:UYR65510 VIF65510:VIN65510 VSB65510:VSJ65510 WBX65510:WCF65510 WLT65510:WMB65510 WVP65510:WVX65510 H131046:P131046 JD131046:JL131046 SZ131046:TH131046 ACV131046:ADD131046 AMR131046:AMZ131046 AWN131046:AWV131046 BGJ131046:BGR131046 BQF131046:BQN131046 CAB131046:CAJ131046 CJX131046:CKF131046 CTT131046:CUB131046 DDP131046:DDX131046 DNL131046:DNT131046 DXH131046:DXP131046 EHD131046:EHL131046 EQZ131046:ERH131046 FAV131046:FBD131046 FKR131046:FKZ131046 FUN131046:FUV131046 GEJ131046:GER131046 GOF131046:GON131046 GYB131046:GYJ131046 HHX131046:HIF131046 HRT131046:HSB131046 IBP131046:IBX131046 ILL131046:ILT131046 IVH131046:IVP131046 JFD131046:JFL131046 JOZ131046:JPH131046 JYV131046:JZD131046 KIR131046:KIZ131046 KSN131046:KSV131046 LCJ131046:LCR131046 LMF131046:LMN131046 LWB131046:LWJ131046 MFX131046:MGF131046 MPT131046:MQB131046 MZP131046:MZX131046 NJL131046:NJT131046 NTH131046:NTP131046 ODD131046:ODL131046 OMZ131046:ONH131046 OWV131046:OXD131046 PGR131046:PGZ131046 PQN131046:PQV131046 QAJ131046:QAR131046 QKF131046:QKN131046 QUB131046:QUJ131046 RDX131046:REF131046 RNT131046:ROB131046 RXP131046:RXX131046 SHL131046:SHT131046 SRH131046:SRP131046 TBD131046:TBL131046 TKZ131046:TLH131046 TUV131046:TVD131046 UER131046:UEZ131046 UON131046:UOV131046 UYJ131046:UYR131046 VIF131046:VIN131046 VSB131046:VSJ131046 WBX131046:WCF131046 WLT131046:WMB131046 WVP131046:WVX131046 H196582:P196582 JD196582:JL196582 SZ196582:TH196582 ACV196582:ADD196582 AMR196582:AMZ196582 AWN196582:AWV196582 BGJ196582:BGR196582 BQF196582:BQN196582 CAB196582:CAJ196582 CJX196582:CKF196582 CTT196582:CUB196582 DDP196582:DDX196582 DNL196582:DNT196582 DXH196582:DXP196582 EHD196582:EHL196582 EQZ196582:ERH196582 FAV196582:FBD196582 FKR196582:FKZ196582 FUN196582:FUV196582 GEJ196582:GER196582 GOF196582:GON196582 GYB196582:GYJ196582 HHX196582:HIF196582 HRT196582:HSB196582 IBP196582:IBX196582 ILL196582:ILT196582 IVH196582:IVP196582 JFD196582:JFL196582 JOZ196582:JPH196582 JYV196582:JZD196582 KIR196582:KIZ196582 KSN196582:KSV196582 LCJ196582:LCR196582 LMF196582:LMN196582 LWB196582:LWJ196582 MFX196582:MGF196582 MPT196582:MQB196582 MZP196582:MZX196582 NJL196582:NJT196582 NTH196582:NTP196582 ODD196582:ODL196582 OMZ196582:ONH196582 OWV196582:OXD196582 PGR196582:PGZ196582 PQN196582:PQV196582 QAJ196582:QAR196582 QKF196582:QKN196582 QUB196582:QUJ196582 RDX196582:REF196582 RNT196582:ROB196582 RXP196582:RXX196582 SHL196582:SHT196582 SRH196582:SRP196582 TBD196582:TBL196582 TKZ196582:TLH196582 TUV196582:TVD196582 UER196582:UEZ196582 UON196582:UOV196582 UYJ196582:UYR196582 VIF196582:VIN196582 VSB196582:VSJ196582 WBX196582:WCF196582 WLT196582:WMB196582 WVP196582:WVX196582 H262118:P262118 JD262118:JL262118 SZ262118:TH262118 ACV262118:ADD262118 AMR262118:AMZ262118 AWN262118:AWV262118 BGJ262118:BGR262118 BQF262118:BQN262118 CAB262118:CAJ262118 CJX262118:CKF262118 CTT262118:CUB262118 DDP262118:DDX262118 DNL262118:DNT262118 DXH262118:DXP262118 EHD262118:EHL262118 EQZ262118:ERH262118 FAV262118:FBD262118 FKR262118:FKZ262118 FUN262118:FUV262118 GEJ262118:GER262118 GOF262118:GON262118 GYB262118:GYJ262118 HHX262118:HIF262118 HRT262118:HSB262118 IBP262118:IBX262118 ILL262118:ILT262118 IVH262118:IVP262118 JFD262118:JFL262118 JOZ262118:JPH262118 JYV262118:JZD262118 KIR262118:KIZ262118 KSN262118:KSV262118 LCJ262118:LCR262118 LMF262118:LMN262118 LWB262118:LWJ262118 MFX262118:MGF262118 MPT262118:MQB262118 MZP262118:MZX262118 NJL262118:NJT262118 NTH262118:NTP262118 ODD262118:ODL262118 OMZ262118:ONH262118 OWV262118:OXD262118 PGR262118:PGZ262118 PQN262118:PQV262118 QAJ262118:QAR262118 QKF262118:QKN262118 QUB262118:QUJ262118 RDX262118:REF262118 RNT262118:ROB262118 RXP262118:RXX262118 SHL262118:SHT262118 SRH262118:SRP262118 TBD262118:TBL262118 TKZ262118:TLH262118 TUV262118:TVD262118 UER262118:UEZ262118 UON262118:UOV262118 UYJ262118:UYR262118 VIF262118:VIN262118 VSB262118:VSJ262118 WBX262118:WCF262118 WLT262118:WMB262118 WVP262118:WVX262118 H327654:P327654 JD327654:JL327654 SZ327654:TH327654 ACV327654:ADD327654 AMR327654:AMZ327654 AWN327654:AWV327654 BGJ327654:BGR327654 BQF327654:BQN327654 CAB327654:CAJ327654 CJX327654:CKF327654 CTT327654:CUB327654 DDP327654:DDX327654 DNL327654:DNT327654 DXH327654:DXP327654 EHD327654:EHL327654 EQZ327654:ERH327654 FAV327654:FBD327654 FKR327654:FKZ327654 FUN327654:FUV327654 GEJ327654:GER327654 GOF327654:GON327654 GYB327654:GYJ327654 HHX327654:HIF327654 HRT327654:HSB327654 IBP327654:IBX327654 ILL327654:ILT327654 IVH327654:IVP327654 JFD327654:JFL327654 JOZ327654:JPH327654 JYV327654:JZD327654 KIR327654:KIZ327654 KSN327654:KSV327654 LCJ327654:LCR327654 LMF327654:LMN327654 LWB327654:LWJ327654 MFX327654:MGF327654 MPT327654:MQB327654 MZP327654:MZX327654 NJL327654:NJT327654 NTH327654:NTP327654 ODD327654:ODL327654 OMZ327654:ONH327654 OWV327654:OXD327654 PGR327654:PGZ327654 PQN327654:PQV327654 QAJ327654:QAR327654 QKF327654:QKN327654 QUB327654:QUJ327654 RDX327654:REF327654 RNT327654:ROB327654 RXP327654:RXX327654 SHL327654:SHT327654 SRH327654:SRP327654 TBD327654:TBL327654 TKZ327654:TLH327654 TUV327654:TVD327654 UER327654:UEZ327654 UON327654:UOV327654 UYJ327654:UYR327654 VIF327654:VIN327654 VSB327654:VSJ327654 WBX327654:WCF327654 WLT327654:WMB327654 WVP327654:WVX327654 H393190:P393190 JD393190:JL393190 SZ393190:TH393190 ACV393190:ADD393190 AMR393190:AMZ393190 AWN393190:AWV393190 BGJ393190:BGR393190 BQF393190:BQN393190 CAB393190:CAJ393190 CJX393190:CKF393190 CTT393190:CUB393190 DDP393190:DDX393190 DNL393190:DNT393190 DXH393190:DXP393190 EHD393190:EHL393190 EQZ393190:ERH393190 FAV393190:FBD393190 FKR393190:FKZ393190 FUN393190:FUV393190 GEJ393190:GER393190 GOF393190:GON393190 GYB393190:GYJ393190 HHX393190:HIF393190 HRT393190:HSB393190 IBP393190:IBX393190 ILL393190:ILT393190 IVH393190:IVP393190 JFD393190:JFL393190 JOZ393190:JPH393190 JYV393190:JZD393190 KIR393190:KIZ393190 KSN393190:KSV393190 LCJ393190:LCR393190 LMF393190:LMN393190 LWB393190:LWJ393190 MFX393190:MGF393190 MPT393190:MQB393190 MZP393190:MZX393190 NJL393190:NJT393190 NTH393190:NTP393190 ODD393190:ODL393190 OMZ393190:ONH393190 OWV393190:OXD393190 PGR393190:PGZ393190 PQN393190:PQV393190 QAJ393190:QAR393190 QKF393190:QKN393190 QUB393190:QUJ393190 RDX393190:REF393190 RNT393190:ROB393190 RXP393190:RXX393190 SHL393190:SHT393190 SRH393190:SRP393190 TBD393190:TBL393190 TKZ393190:TLH393190 TUV393190:TVD393190 UER393190:UEZ393190 UON393190:UOV393190 UYJ393190:UYR393190 VIF393190:VIN393190 VSB393190:VSJ393190 WBX393190:WCF393190 WLT393190:WMB393190 WVP393190:WVX393190 H458726:P458726 JD458726:JL458726 SZ458726:TH458726 ACV458726:ADD458726 AMR458726:AMZ458726 AWN458726:AWV458726 BGJ458726:BGR458726 BQF458726:BQN458726 CAB458726:CAJ458726 CJX458726:CKF458726 CTT458726:CUB458726 DDP458726:DDX458726 DNL458726:DNT458726 DXH458726:DXP458726 EHD458726:EHL458726 EQZ458726:ERH458726 FAV458726:FBD458726 FKR458726:FKZ458726 FUN458726:FUV458726 GEJ458726:GER458726 GOF458726:GON458726 GYB458726:GYJ458726 HHX458726:HIF458726 HRT458726:HSB458726 IBP458726:IBX458726 ILL458726:ILT458726 IVH458726:IVP458726 JFD458726:JFL458726 JOZ458726:JPH458726 JYV458726:JZD458726 KIR458726:KIZ458726 KSN458726:KSV458726 LCJ458726:LCR458726 LMF458726:LMN458726 LWB458726:LWJ458726 MFX458726:MGF458726 MPT458726:MQB458726 MZP458726:MZX458726 NJL458726:NJT458726 NTH458726:NTP458726 ODD458726:ODL458726 OMZ458726:ONH458726 OWV458726:OXD458726 PGR458726:PGZ458726 PQN458726:PQV458726 QAJ458726:QAR458726 QKF458726:QKN458726 QUB458726:QUJ458726 RDX458726:REF458726 RNT458726:ROB458726 RXP458726:RXX458726 SHL458726:SHT458726 SRH458726:SRP458726 TBD458726:TBL458726 TKZ458726:TLH458726 TUV458726:TVD458726 UER458726:UEZ458726 UON458726:UOV458726 UYJ458726:UYR458726 VIF458726:VIN458726 VSB458726:VSJ458726 WBX458726:WCF458726 WLT458726:WMB458726 WVP458726:WVX458726 H524262:P524262 JD524262:JL524262 SZ524262:TH524262 ACV524262:ADD524262 AMR524262:AMZ524262 AWN524262:AWV524262 BGJ524262:BGR524262 BQF524262:BQN524262 CAB524262:CAJ524262 CJX524262:CKF524262 CTT524262:CUB524262 DDP524262:DDX524262 DNL524262:DNT524262 DXH524262:DXP524262 EHD524262:EHL524262 EQZ524262:ERH524262 FAV524262:FBD524262 FKR524262:FKZ524262 FUN524262:FUV524262 GEJ524262:GER524262 GOF524262:GON524262 GYB524262:GYJ524262 HHX524262:HIF524262 HRT524262:HSB524262 IBP524262:IBX524262 ILL524262:ILT524262 IVH524262:IVP524262 JFD524262:JFL524262 JOZ524262:JPH524262 JYV524262:JZD524262 KIR524262:KIZ524262 KSN524262:KSV524262 LCJ524262:LCR524262 LMF524262:LMN524262 LWB524262:LWJ524262 MFX524262:MGF524262 MPT524262:MQB524262 MZP524262:MZX524262 NJL524262:NJT524262 NTH524262:NTP524262 ODD524262:ODL524262 OMZ524262:ONH524262 OWV524262:OXD524262 PGR524262:PGZ524262 PQN524262:PQV524262 QAJ524262:QAR524262 QKF524262:QKN524262 QUB524262:QUJ524262 RDX524262:REF524262 RNT524262:ROB524262 RXP524262:RXX524262 SHL524262:SHT524262 SRH524262:SRP524262 TBD524262:TBL524262 TKZ524262:TLH524262 TUV524262:TVD524262 UER524262:UEZ524262 UON524262:UOV524262 UYJ524262:UYR524262 VIF524262:VIN524262 VSB524262:VSJ524262 WBX524262:WCF524262 WLT524262:WMB524262 WVP524262:WVX524262 H589798:P589798 JD589798:JL589798 SZ589798:TH589798 ACV589798:ADD589798 AMR589798:AMZ589798 AWN589798:AWV589798 BGJ589798:BGR589798 BQF589798:BQN589798 CAB589798:CAJ589798 CJX589798:CKF589798 CTT589798:CUB589798 DDP589798:DDX589798 DNL589798:DNT589798 DXH589798:DXP589798 EHD589798:EHL589798 EQZ589798:ERH589798 FAV589798:FBD589798 FKR589798:FKZ589798 FUN589798:FUV589798 GEJ589798:GER589798 GOF589798:GON589798 GYB589798:GYJ589798 HHX589798:HIF589798 HRT589798:HSB589798 IBP589798:IBX589798 ILL589798:ILT589798 IVH589798:IVP589798 JFD589798:JFL589798 JOZ589798:JPH589798 JYV589798:JZD589798 KIR589798:KIZ589798 KSN589798:KSV589798 LCJ589798:LCR589798 LMF589798:LMN589798 LWB589798:LWJ589798 MFX589798:MGF589798 MPT589798:MQB589798 MZP589798:MZX589798 NJL589798:NJT589798 NTH589798:NTP589798 ODD589798:ODL589798 OMZ589798:ONH589798 OWV589798:OXD589798 PGR589798:PGZ589798 PQN589798:PQV589798 QAJ589798:QAR589798 QKF589798:QKN589798 QUB589798:QUJ589798 RDX589798:REF589798 RNT589798:ROB589798 RXP589798:RXX589798 SHL589798:SHT589798 SRH589798:SRP589798 TBD589798:TBL589798 TKZ589798:TLH589798 TUV589798:TVD589798 UER589798:UEZ589798 UON589798:UOV589798 UYJ589798:UYR589798 VIF589798:VIN589798 VSB589798:VSJ589798 WBX589798:WCF589798 WLT589798:WMB589798 WVP589798:WVX589798 H655334:P655334 JD655334:JL655334 SZ655334:TH655334 ACV655334:ADD655334 AMR655334:AMZ655334 AWN655334:AWV655334 BGJ655334:BGR655334 BQF655334:BQN655334 CAB655334:CAJ655334 CJX655334:CKF655334 CTT655334:CUB655334 DDP655334:DDX655334 DNL655334:DNT655334 DXH655334:DXP655334 EHD655334:EHL655334 EQZ655334:ERH655334 FAV655334:FBD655334 FKR655334:FKZ655334 FUN655334:FUV655334 GEJ655334:GER655334 GOF655334:GON655334 GYB655334:GYJ655334 HHX655334:HIF655334 HRT655334:HSB655334 IBP655334:IBX655334 ILL655334:ILT655334 IVH655334:IVP655334 JFD655334:JFL655334 JOZ655334:JPH655334 JYV655334:JZD655334 KIR655334:KIZ655334 KSN655334:KSV655334 LCJ655334:LCR655334 LMF655334:LMN655334 LWB655334:LWJ655334 MFX655334:MGF655334 MPT655334:MQB655334 MZP655334:MZX655334 NJL655334:NJT655334 NTH655334:NTP655334 ODD655334:ODL655334 OMZ655334:ONH655334 OWV655334:OXD655334 PGR655334:PGZ655334 PQN655334:PQV655334 QAJ655334:QAR655334 QKF655334:QKN655334 QUB655334:QUJ655334 RDX655334:REF655334 RNT655334:ROB655334 RXP655334:RXX655334 SHL655334:SHT655334 SRH655334:SRP655334 TBD655334:TBL655334 TKZ655334:TLH655334 TUV655334:TVD655334 UER655334:UEZ655334 UON655334:UOV655334 UYJ655334:UYR655334 VIF655334:VIN655334 VSB655334:VSJ655334 WBX655334:WCF655334 WLT655334:WMB655334 WVP655334:WVX655334 H720870:P720870 JD720870:JL720870 SZ720870:TH720870 ACV720870:ADD720870 AMR720870:AMZ720870 AWN720870:AWV720870 BGJ720870:BGR720870 BQF720870:BQN720870 CAB720870:CAJ720870 CJX720870:CKF720870 CTT720870:CUB720870 DDP720870:DDX720870 DNL720870:DNT720870 DXH720870:DXP720870 EHD720870:EHL720870 EQZ720870:ERH720870 FAV720870:FBD720870 FKR720870:FKZ720870 FUN720870:FUV720870 GEJ720870:GER720870 GOF720870:GON720870 GYB720870:GYJ720870 HHX720870:HIF720870 HRT720870:HSB720870 IBP720870:IBX720870 ILL720870:ILT720870 IVH720870:IVP720870 JFD720870:JFL720870 JOZ720870:JPH720870 JYV720870:JZD720870 KIR720870:KIZ720870 KSN720870:KSV720870 LCJ720870:LCR720870 LMF720870:LMN720870 LWB720870:LWJ720870 MFX720870:MGF720870 MPT720870:MQB720870 MZP720870:MZX720870 NJL720870:NJT720870 NTH720870:NTP720870 ODD720870:ODL720870 OMZ720870:ONH720870 OWV720870:OXD720870 PGR720870:PGZ720870 PQN720870:PQV720870 QAJ720870:QAR720870 QKF720870:QKN720870 QUB720870:QUJ720870 RDX720870:REF720870 RNT720870:ROB720870 RXP720870:RXX720870 SHL720870:SHT720870 SRH720870:SRP720870 TBD720870:TBL720870 TKZ720870:TLH720870 TUV720870:TVD720870 UER720870:UEZ720870 UON720870:UOV720870 UYJ720870:UYR720870 VIF720870:VIN720870 VSB720870:VSJ720870 WBX720870:WCF720870 WLT720870:WMB720870 WVP720870:WVX720870 H786406:P786406 JD786406:JL786406 SZ786406:TH786406 ACV786406:ADD786406 AMR786406:AMZ786406 AWN786406:AWV786406 BGJ786406:BGR786406 BQF786406:BQN786406 CAB786406:CAJ786406 CJX786406:CKF786406 CTT786406:CUB786406 DDP786406:DDX786406 DNL786406:DNT786406 DXH786406:DXP786406 EHD786406:EHL786406 EQZ786406:ERH786406 FAV786406:FBD786406 FKR786406:FKZ786406 FUN786406:FUV786406 GEJ786406:GER786406 GOF786406:GON786406 GYB786406:GYJ786406 HHX786406:HIF786406 HRT786406:HSB786406 IBP786406:IBX786406 ILL786406:ILT786406 IVH786406:IVP786406 JFD786406:JFL786406 JOZ786406:JPH786406 JYV786406:JZD786406 KIR786406:KIZ786406 KSN786406:KSV786406 LCJ786406:LCR786406 LMF786406:LMN786406 LWB786406:LWJ786406 MFX786406:MGF786406 MPT786406:MQB786406 MZP786406:MZX786406 NJL786406:NJT786406 NTH786406:NTP786406 ODD786406:ODL786406 OMZ786406:ONH786406 OWV786406:OXD786406 PGR786406:PGZ786406 PQN786406:PQV786406 QAJ786406:QAR786406 QKF786406:QKN786406 QUB786406:QUJ786406 RDX786406:REF786406 RNT786406:ROB786406 RXP786406:RXX786406 SHL786406:SHT786406 SRH786406:SRP786406 TBD786406:TBL786406 TKZ786406:TLH786406 TUV786406:TVD786406 UER786406:UEZ786406 UON786406:UOV786406 UYJ786406:UYR786406 VIF786406:VIN786406 VSB786406:VSJ786406 WBX786406:WCF786406 WLT786406:WMB786406 WVP786406:WVX786406 H851942:P851942 JD851942:JL851942 SZ851942:TH851942 ACV851942:ADD851942 AMR851942:AMZ851942 AWN851942:AWV851942 BGJ851942:BGR851942 BQF851942:BQN851942 CAB851942:CAJ851942 CJX851942:CKF851942 CTT851942:CUB851942 DDP851942:DDX851942 DNL851942:DNT851942 DXH851942:DXP851942 EHD851942:EHL851942 EQZ851942:ERH851942 FAV851942:FBD851942 FKR851942:FKZ851942 FUN851942:FUV851942 GEJ851942:GER851942 GOF851942:GON851942 GYB851942:GYJ851942 HHX851942:HIF851942 HRT851942:HSB851942 IBP851942:IBX851942 ILL851942:ILT851942 IVH851942:IVP851942 JFD851942:JFL851942 JOZ851942:JPH851942 JYV851942:JZD851942 KIR851942:KIZ851942 KSN851942:KSV851942 LCJ851942:LCR851942 LMF851942:LMN851942 LWB851942:LWJ851942 MFX851942:MGF851942 MPT851942:MQB851942 MZP851942:MZX851942 NJL851942:NJT851942 NTH851942:NTP851942 ODD851942:ODL851942 OMZ851942:ONH851942 OWV851942:OXD851942 PGR851942:PGZ851942 PQN851942:PQV851942 QAJ851942:QAR851942 QKF851942:QKN851942 QUB851942:QUJ851942 RDX851942:REF851942 RNT851942:ROB851942 RXP851942:RXX851942 SHL851942:SHT851942 SRH851942:SRP851942 TBD851942:TBL851942 TKZ851942:TLH851942 TUV851942:TVD851942 UER851942:UEZ851942 UON851942:UOV851942 UYJ851942:UYR851942 VIF851942:VIN851942 VSB851942:VSJ851942 WBX851942:WCF851942 WLT851942:WMB851942 WVP851942:WVX851942 H917478:P917478 JD917478:JL917478 SZ917478:TH917478 ACV917478:ADD917478 AMR917478:AMZ917478 AWN917478:AWV917478 BGJ917478:BGR917478 BQF917478:BQN917478 CAB917478:CAJ917478 CJX917478:CKF917478 CTT917478:CUB917478 DDP917478:DDX917478 DNL917478:DNT917478 DXH917478:DXP917478 EHD917478:EHL917478 EQZ917478:ERH917478 FAV917478:FBD917478 FKR917478:FKZ917478 FUN917478:FUV917478 GEJ917478:GER917478 GOF917478:GON917478 GYB917478:GYJ917478 HHX917478:HIF917478 HRT917478:HSB917478 IBP917478:IBX917478 ILL917478:ILT917478 IVH917478:IVP917478 JFD917478:JFL917478 JOZ917478:JPH917478 JYV917478:JZD917478 KIR917478:KIZ917478 KSN917478:KSV917478 LCJ917478:LCR917478 LMF917478:LMN917478 LWB917478:LWJ917478 MFX917478:MGF917478 MPT917478:MQB917478 MZP917478:MZX917478 NJL917478:NJT917478 NTH917478:NTP917478 ODD917478:ODL917478 OMZ917478:ONH917478 OWV917478:OXD917478 PGR917478:PGZ917478 PQN917478:PQV917478 QAJ917478:QAR917478 QKF917478:QKN917478 QUB917478:QUJ917478 RDX917478:REF917478 RNT917478:ROB917478 RXP917478:RXX917478 SHL917478:SHT917478 SRH917478:SRP917478 TBD917478:TBL917478 TKZ917478:TLH917478 TUV917478:TVD917478 UER917478:UEZ917478 UON917478:UOV917478 UYJ917478:UYR917478 VIF917478:VIN917478 VSB917478:VSJ917478 WBX917478:WCF917478 WLT917478:WMB917478 WVP917478:WVX917478 H983014:P983014 JD983014:JL983014 SZ983014:TH983014 ACV983014:ADD983014 AMR983014:AMZ983014 AWN983014:AWV983014 BGJ983014:BGR983014 BQF983014:BQN983014 CAB983014:CAJ983014 CJX983014:CKF983014 CTT983014:CUB983014 DDP983014:DDX983014 DNL983014:DNT983014 DXH983014:DXP983014 EHD983014:EHL983014 EQZ983014:ERH983014 FAV983014:FBD983014 FKR983014:FKZ983014 FUN983014:FUV983014 GEJ983014:GER983014 GOF983014:GON983014 GYB983014:GYJ983014 HHX983014:HIF983014 HRT983014:HSB983014 IBP983014:IBX983014 ILL983014:ILT983014 IVH983014:IVP983014 JFD983014:JFL983014 JOZ983014:JPH983014 JYV983014:JZD983014 KIR983014:KIZ983014 KSN983014:KSV983014 LCJ983014:LCR983014 LMF983014:LMN983014 LWB983014:LWJ983014 MFX983014:MGF983014 MPT983014:MQB983014 MZP983014:MZX983014 NJL983014:NJT983014 NTH983014:NTP983014 ODD983014:ODL983014 OMZ983014:ONH983014 OWV983014:OXD983014 PGR983014:PGZ983014 PQN983014:PQV983014 QAJ983014:QAR983014 QKF983014:QKN983014 QUB983014:QUJ983014 RDX983014:REF983014 RNT983014:ROB983014 RXP983014:RXX983014 SHL983014:SHT983014 SRH983014:SRP983014 TBD983014:TBL983014 TKZ983014:TLH983014 TUV983014:TVD983014 UER983014:UEZ983014 UON983014:UOV983014 UYJ983014:UYR983014 VIF983014:VIN983014 VSB983014:VSJ983014 WBX983014:WCF983014 WLT983014:WMB983014 WVP983014:WVX983014 JD44:JM47 SZ44:TI47 ACV44:ADE47 AMR44:ANA47 AWN44:AWW47 BGJ44:BGS47 BQF44:BQO47 CAB44:CAK47 CJX44:CKG47 CTT44:CUC47 DDP44:DDY47 DNL44:DNU47 DXH44:DXQ47 EHD44:EHM47 EQZ44:ERI47 FAV44:FBE47 FKR44:FLA47 FUN44:FUW47 GEJ44:GES47 GOF44:GOO47 GYB44:GYK47 HHX44:HIG47 HRT44:HSC47 IBP44:IBY47 ILL44:ILU47 IVH44:IVQ47 JFD44:JFM47 JOZ44:JPI47 JYV44:JZE47 KIR44:KJA47 KSN44:KSW47 LCJ44:LCS47 LMF44:LMO47 LWB44:LWK47 MFX44:MGG47 MPT44:MQC47 MZP44:MZY47 NJL44:NJU47 NTH44:NTQ47 ODD44:ODM47 OMZ44:ONI47 OWV44:OXE47 PGR44:PHA47 PQN44:PQW47 QAJ44:QAS47 QKF44:QKO47 QUB44:QUK47 RDX44:REG47 RNT44:ROC47 RXP44:RXY47 SHL44:SHU47 SRH44:SRQ47 TBD44:TBM47 TKZ44:TLI47 TUV44:TVE47 UER44:UFA47 UON44:UOW47 UYJ44:UYS47 VIF44:VIO47 VSB44:VSK47 WBX44:WCG47 WLT44:WMC47 WVP44:WVY47 H65516:Q65519 JD65516:JM65519 SZ65516:TI65519 ACV65516:ADE65519 AMR65516:ANA65519 AWN65516:AWW65519 BGJ65516:BGS65519 BQF65516:BQO65519 CAB65516:CAK65519 CJX65516:CKG65519 CTT65516:CUC65519 DDP65516:DDY65519 DNL65516:DNU65519 DXH65516:DXQ65519 EHD65516:EHM65519 EQZ65516:ERI65519 FAV65516:FBE65519 FKR65516:FLA65519 FUN65516:FUW65519 GEJ65516:GES65519 GOF65516:GOO65519 GYB65516:GYK65519 HHX65516:HIG65519 HRT65516:HSC65519 IBP65516:IBY65519 ILL65516:ILU65519 IVH65516:IVQ65519 JFD65516:JFM65519 JOZ65516:JPI65519 JYV65516:JZE65519 KIR65516:KJA65519 KSN65516:KSW65519 LCJ65516:LCS65519 LMF65516:LMO65519 LWB65516:LWK65519 MFX65516:MGG65519 MPT65516:MQC65519 MZP65516:MZY65519 NJL65516:NJU65519 NTH65516:NTQ65519 ODD65516:ODM65519 OMZ65516:ONI65519 OWV65516:OXE65519 PGR65516:PHA65519 PQN65516:PQW65519 QAJ65516:QAS65519 QKF65516:QKO65519 QUB65516:QUK65519 RDX65516:REG65519 RNT65516:ROC65519 RXP65516:RXY65519 SHL65516:SHU65519 SRH65516:SRQ65519 TBD65516:TBM65519 TKZ65516:TLI65519 TUV65516:TVE65519 UER65516:UFA65519 UON65516:UOW65519 UYJ65516:UYS65519 VIF65516:VIO65519 VSB65516:VSK65519 WBX65516:WCG65519 WLT65516:WMC65519 WVP65516:WVY65519 H131052:Q131055 JD131052:JM131055 SZ131052:TI131055 ACV131052:ADE131055 AMR131052:ANA131055 AWN131052:AWW131055 BGJ131052:BGS131055 BQF131052:BQO131055 CAB131052:CAK131055 CJX131052:CKG131055 CTT131052:CUC131055 DDP131052:DDY131055 DNL131052:DNU131055 DXH131052:DXQ131055 EHD131052:EHM131055 EQZ131052:ERI131055 FAV131052:FBE131055 FKR131052:FLA131055 FUN131052:FUW131055 GEJ131052:GES131055 GOF131052:GOO131055 GYB131052:GYK131055 HHX131052:HIG131055 HRT131052:HSC131055 IBP131052:IBY131055 ILL131052:ILU131055 IVH131052:IVQ131055 JFD131052:JFM131055 JOZ131052:JPI131055 JYV131052:JZE131055 KIR131052:KJA131055 KSN131052:KSW131055 LCJ131052:LCS131055 LMF131052:LMO131055 LWB131052:LWK131055 MFX131052:MGG131055 MPT131052:MQC131055 MZP131052:MZY131055 NJL131052:NJU131055 NTH131052:NTQ131055 ODD131052:ODM131055 OMZ131052:ONI131055 OWV131052:OXE131055 PGR131052:PHA131055 PQN131052:PQW131055 QAJ131052:QAS131055 QKF131052:QKO131055 QUB131052:QUK131055 RDX131052:REG131055 RNT131052:ROC131055 RXP131052:RXY131055 SHL131052:SHU131055 SRH131052:SRQ131055 TBD131052:TBM131055 TKZ131052:TLI131055 TUV131052:TVE131055 UER131052:UFA131055 UON131052:UOW131055 UYJ131052:UYS131055 VIF131052:VIO131055 VSB131052:VSK131055 WBX131052:WCG131055 WLT131052:WMC131055 WVP131052:WVY131055 H196588:Q196591 JD196588:JM196591 SZ196588:TI196591 ACV196588:ADE196591 AMR196588:ANA196591 AWN196588:AWW196591 BGJ196588:BGS196591 BQF196588:BQO196591 CAB196588:CAK196591 CJX196588:CKG196591 CTT196588:CUC196591 DDP196588:DDY196591 DNL196588:DNU196591 DXH196588:DXQ196591 EHD196588:EHM196591 EQZ196588:ERI196591 FAV196588:FBE196591 FKR196588:FLA196591 FUN196588:FUW196591 GEJ196588:GES196591 GOF196588:GOO196591 GYB196588:GYK196591 HHX196588:HIG196591 HRT196588:HSC196591 IBP196588:IBY196591 ILL196588:ILU196591 IVH196588:IVQ196591 JFD196588:JFM196591 JOZ196588:JPI196591 JYV196588:JZE196591 KIR196588:KJA196591 KSN196588:KSW196591 LCJ196588:LCS196591 LMF196588:LMO196591 LWB196588:LWK196591 MFX196588:MGG196591 MPT196588:MQC196591 MZP196588:MZY196591 NJL196588:NJU196591 NTH196588:NTQ196591 ODD196588:ODM196591 OMZ196588:ONI196591 OWV196588:OXE196591 PGR196588:PHA196591 PQN196588:PQW196591 QAJ196588:QAS196591 QKF196588:QKO196591 QUB196588:QUK196591 RDX196588:REG196591 RNT196588:ROC196591 RXP196588:RXY196591 SHL196588:SHU196591 SRH196588:SRQ196591 TBD196588:TBM196591 TKZ196588:TLI196591 TUV196588:TVE196591 UER196588:UFA196591 UON196588:UOW196591 UYJ196588:UYS196591 VIF196588:VIO196591 VSB196588:VSK196591 WBX196588:WCG196591 WLT196588:WMC196591 WVP196588:WVY196591 H262124:Q262127 JD262124:JM262127 SZ262124:TI262127 ACV262124:ADE262127 AMR262124:ANA262127 AWN262124:AWW262127 BGJ262124:BGS262127 BQF262124:BQO262127 CAB262124:CAK262127 CJX262124:CKG262127 CTT262124:CUC262127 DDP262124:DDY262127 DNL262124:DNU262127 DXH262124:DXQ262127 EHD262124:EHM262127 EQZ262124:ERI262127 FAV262124:FBE262127 FKR262124:FLA262127 FUN262124:FUW262127 GEJ262124:GES262127 GOF262124:GOO262127 GYB262124:GYK262127 HHX262124:HIG262127 HRT262124:HSC262127 IBP262124:IBY262127 ILL262124:ILU262127 IVH262124:IVQ262127 JFD262124:JFM262127 JOZ262124:JPI262127 JYV262124:JZE262127 KIR262124:KJA262127 KSN262124:KSW262127 LCJ262124:LCS262127 LMF262124:LMO262127 LWB262124:LWK262127 MFX262124:MGG262127 MPT262124:MQC262127 MZP262124:MZY262127 NJL262124:NJU262127 NTH262124:NTQ262127 ODD262124:ODM262127 OMZ262124:ONI262127 OWV262124:OXE262127 PGR262124:PHA262127 PQN262124:PQW262127 QAJ262124:QAS262127 QKF262124:QKO262127 QUB262124:QUK262127 RDX262124:REG262127 RNT262124:ROC262127 RXP262124:RXY262127 SHL262124:SHU262127 SRH262124:SRQ262127 TBD262124:TBM262127 TKZ262124:TLI262127 TUV262124:TVE262127 UER262124:UFA262127 UON262124:UOW262127 UYJ262124:UYS262127 VIF262124:VIO262127 VSB262124:VSK262127 WBX262124:WCG262127 WLT262124:WMC262127 WVP262124:WVY262127 H327660:Q327663 JD327660:JM327663 SZ327660:TI327663 ACV327660:ADE327663 AMR327660:ANA327663 AWN327660:AWW327663 BGJ327660:BGS327663 BQF327660:BQO327663 CAB327660:CAK327663 CJX327660:CKG327663 CTT327660:CUC327663 DDP327660:DDY327663 DNL327660:DNU327663 DXH327660:DXQ327663 EHD327660:EHM327663 EQZ327660:ERI327663 FAV327660:FBE327663 FKR327660:FLA327663 FUN327660:FUW327663 GEJ327660:GES327663 GOF327660:GOO327663 GYB327660:GYK327663 HHX327660:HIG327663 HRT327660:HSC327663 IBP327660:IBY327663 ILL327660:ILU327663 IVH327660:IVQ327663 JFD327660:JFM327663 JOZ327660:JPI327663 JYV327660:JZE327663 KIR327660:KJA327663 KSN327660:KSW327663 LCJ327660:LCS327663 LMF327660:LMO327663 LWB327660:LWK327663 MFX327660:MGG327663 MPT327660:MQC327663 MZP327660:MZY327663 NJL327660:NJU327663 NTH327660:NTQ327663 ODD327660:ODM327663 OMZ327660:ONI327663 OWV327660:OXE327663 PGR327660:PHA327663 PQN327660:PQW327663 QAJ327660:QAS327663 QKF327660:QKO327663 QUB327660:QUK327663 RDX327660:REG327663 RNT327660:ROC327663 RXP327660:RXY327663 SHL327660:SHU327663 SRH327660:SRQ327663 TBD327660:TBM327663 TKZ327660:TLI327663 TUV327660:TVE327663 UER327660:UFA327663 UON327660:UOW327663 UYJ327660:UYS327663 VIF327660:VIO327663 VSB327660:VSK327663 WBX327660:WCG327663 WLT327660:WMC327663 WVP327660:WVY327663 H393196:Q393199 JD393196:JM393199 SZ393196:TI393199 ACV393196:ADE393199 AMR393196:ANA393199 AWN393196:AWW393199 BGJ393196:BGS393199 BQF393196:BQO393199 CAB393196:CAK393199 CJX393196:CKG393199 CTT393196:CUC393199 DDP393196:DDY393199 DNL393196:DNU393199 DXH393196:DXQ393199 EHD393196:EHM393199 EQZ393196:ERI393199 FAV393196:FBE393199 FKR393196:FLA393199 FUN393196:FUW393199 GEJ393196:GES393199 GOF393196:GOO393199 GYB393196:GYK393199 HHX393196:HIG393199 HRT393196:HSC393199 IBP393196:IBY393199 ILL393196:ILU393199 IVH393196:IVQ393199 JFD393196:JFM393199 JOZ393196:JPI393199 JYV393196:JZE393199 KIR393196:KJA393199 KSN393196:KSW393199 LCJ393196:LCS393199 LMF393196:LMO393199 LWB393196:LWK393199 MFX393196:MGG393199 MPT393196:MQC393199 MZP393196:MZY393199 NJL393196:NJU393199 NTH393196:NTQ393199 ODD393196:ODM393199 OMZ393196:ONI393199 OWV393196:OXE393199 PGR393196:PHA393199 PQN393196:PQW393199 QAJ393196:QAS393199 QKF393196:QKO393199 QUB393196:QUK393199 RDX393196:REG393199 RNT393196:ROC393199 RXP393196:RXY393199 SHL393196:SHU393199 SRH393196:SRQ393199 TBD393196:TBM393199 TKZ393196:TLI393199 TUV393196:TVE393199 UER393196:UFA393199 UON393196:UOW393199 UYJ393196:UYS393199 VIF393196:VIO393199 VSB393196:VSK393199 WBX393196:WCG393199 WLT393196:WMC393199 WVP393196:WVY393199 H458732:Q458735 JD458732:JM458735 SZ458732:TI458735 ACV458732:ADE458735 AMR458732:ANA458735 AWN458732:AWW458735 BGJ458732:BGS458735 BQF458732:BQO458735 CAB458732:CAK458735 CJX458732:CKG458735 CTT458732:CUC458735 DDP458732:DDY458735 DNL458732:DNU458735 DXH458732:DXQ458735 EHD458732:EHM458735 EQZ458732:ERI458735 FAV458732:FBE458735 FKR458732:FLA458735 FUN458732:FUW458735 GEJ458732:GES458735 GOF458732:GOO458735 GYB458732:GYK458735 HHX458732:HIG458735 HRT458732:HSC458735 IBP458732:IBY458735 ILL458732:ILU458735 IVH458732:IVQ458735 JFD458732:JFM458735 JOZ458732:JPI458735 JYV458732:JZE458735 KIR458732:KJA458735 KSN458732:KSW458735 LCJ458732:LCS458735 LMF458732:LMO458735 LWB458732:LWK458735 MFX458732:MGG458735 MPT458732:MQC458735 MZP458732:MZY458735 NJL458732:NJU458735 NTH458732:NTQ458735 ODD458732:ODM458735 OMZ458732:ONI458735 OWV458732:OXE458735 PGR458732:PHA458735 PQN458732:PQW458735 QAJ458732:QAS458735 QKF458732:QKO458735 QUB458732:QUK458735 RDX458732:REG458735 RNT458732:ROC458735 RXP458732:RXY458735 SHL458732:SHU458735 SRH458732:SRQ458735 TBD458732:TBM458735 TKZ458732:TLI458735 TUV458732:TVE458735 UER458732:UFA458735 UON458732:UOW458735 UYJ458732:UYS458735 VIF458732:VIO458735 VSB458732:VSK458735 WBX458732:WCG458735 WLT458732:WMC458735 WVP458732:WVY458735 H524268:Q524271 JD524268:JM524271 SZ524268:TI524271 ACV524268:ADE524271 AMR524268:ANA524271 AWN524268:AWW524271 BGJ524268:BGS524271 BQF524268:BQO524271 CAB524268:CAK524271 CJX524268:CKG524271 CTT524268:CUC524271 DDP524268:DDY524271 DNL524268:DNU524271 DXH524268:DXQ524271 EHD524268:EHM524271 EQZ524268:ERI524271 FAV524268:FBE524271 FKR524268:FLA524271 FUN524268:FUW524271 GEJ524268:GES524271 GOF524268:GOO524271 GYB524268:GYK524271 HHX524268:HIG524271 HRT524268:HSC524271 IBP524268:IBY524271 ILL524268:ILU524271 IVH524268:IVQ524271 JFD524268:JFM524271 JOZ524268:JPI524271 JYV524268:JZE524271 KIR524268:KJA524271 KSN524268:KSW524271 LCJ524268:LCS524271 LMF524268:LMO524271 LWB524268:LWK524271 MFX524268:MGG524271 MPT524268:MQC524271 MZP524268:MZY524271 NJL524268:NJU524271 NTH524268:NTQ524271 ODD524268:ODM524271 OMZ524268:ONI524271 OWV524268:OXE524271 PGR524268:PHA524271 PQN524268:PQW524271 QAJ524268:QAS524271 QKF524268:QKO524271 QUB524268:QUK524271 RDX524268:REG524271 RNT524268:ROC524271 RXP524268:RXY524271 SHL524268:SHU524271 SRH524268:SRQ524271 TBD524268:TBM524271 TKZ524268:TLI524271 TUV524268:TVE524271 UER524268:UFA524271 UON524268:UOW524271 UYJ524268:UYS524271 VIF524268:VIO524271 VSB524268:VSK524271 WBX524268:WCG524271 WLT524268:WMC524271 WVP524268:WVY524271 H589804:Q589807 JD589804:JM589807 SZ589804:TI589807 ACV589804:ADE589807 AMR589804:ANA589807 AWN589804:AWW589807 BGJ589804:BGS589807 BQF589804:BQO589807 CAB589804:CAK589807 CJX589804:CKG589807 CTT589804:CUC589807 DDP589804:DDY589807 DNL589804:DNU589807 DXH589804:DXQ589807 EHD589804:EHM589807 EQZ589804:ERI589807 FAV589804:FBE589807 FKR589804:FLA589807 FUN589804:FUW589807 GEJ589804:GES589807 GOF589804:GOO589807 GYB589804:GYK589807 HHX589804:HIG589807 HRT589804:HSC589807 IBP589804:IBY589807 ILL589804:ILU589807 IVH589804:IVQ589807 JFD589804:JFM589807 JOZ589804:JPI589807 JYV589804:JZE589807 KIR589804:KJA589807 KSN589804:KSW589807 LCJ589804:LCS589807 LMF589804:LMO589807 LWB589804:LWK589807 MFX589804:MGG589807 MPT589804:MQC589807 MZP589804:MZY589807 NJL589804:NJU589807 NTH589804:NTQ589807 ODD589804:ODM589807 OMZ589804:ONI589807 OWV589804:OXE589807 PGR589804:PHA589807 PQN589804:PQW589807 QAJ589804:QAS589807 QKF589804:QKO589807 QUB589804:QUK589807 RDX589804:REG589807 RNT589804:ROC589807 RXP589804:RXY589807 SHL589804:SHU589807 SRH589804:SRQ589807 TBD589804:TBM589807 TKZ589804:TLI589807 TUV589804:TVE589807 UER589804:UFA589807 UON589804:UOW589807 UYJ589804:UYS589807 VIF589804:VIO589807 VSB589804:VSK589807 WBX589804:WCG589807 WLT589804:WMC589807 WVP589804:WVY589807 H655340:Q655343 JD655340:JM655343 SZ655340:TI655343 ACV655340:ADE655343 AMR655340:ANA655343 AWN655340:AWW655343 BGJ655340:BGS655343 BQF655340:BQO655343 CAB655340:CAK655343 CJX655340:CKG655343 CTT655340:CUC655343 DDP655340:DDY655343 DNL655340:DNU655343 DXH655340:DXQ655343 EHD655340:EHM655343 EQZ655340:ERI655343 FAV655340:FBE655343 FKR655340:FLA655343 FUN655340:FUW655343 GEJ655340:GES655343 GOF655340:GOO655343 GYB655340:GYK655343 HHX655340:HIG655343 HRT655340:HSC655343 IBP655340:IBY655343 ILL655340:ILU655343 IVH655340:IVQ655343 JFD655340:JFM655343 JOZ655340:JPI655343 JYV655340:JZE655343 KIR655340:KJA655343 KSN655340:KSW655343 LCJ655340:LCS655343 LMF655340:LMO655343 LWB655340:LWK655343 MFX655340:MGG655343 MPT655340:MQC655343 MZP655340:MZY655343 NJL655340:NJU655343 NTH655340:NTQ655343 ODD655340:ODM655343 OMZ655340:ONI655343 OWV655340:OXE655343 PGR655340:PHA655343 PQN655340:PQW655343 QAJ655340:QAS655343 QKF655340:QKO655343 QUB655340:QUK655343 RDX655340:REG655343 RNT655340:ROC655343 RXP655340:RXY655343 SHL655340:SHU655343 SRH655340:SRQ655343 TBD655340:TBM655343 TKZ655340:TLI655343 TUV655340:TVE655343 UER655340:UFA655343 UON655340:UOW655343 UYJ655340:UYS655343 VIF655340:VIO655343 VSB655340:VSK655343 WBX655340:WCG655343 WLT655340:WMC655343 WVP655340:WVY655343 H720876:Q720879 JD720876:JM720879 SZ720876:TI720879 ACV720876:ADE720879 AMR720876:ANA720879 AWN720876:AWW720879 BGJ720876:BGS720879 BQF720876:BQO720879 CAB720876:CAK720879 CJX720876:CKG720879 CTT720876:CUC720879 DDP720876:DDY720879 DNL720876:DNU720879 DXH720876:DXQ720879 EHD720876:EHM720879 EQZ720876:ERI720879 FAV720876:FBE720879 FKR720876:FLA720879 FUN720876:FUW720879 GEJ720876:GES720879 GOF720876:GOO720879 GYB720876:GYK720879 HHX720876:HIG720879 HRT720876:HSC720879 IBP720876:IBY720879 ILL720876:ILU720879 IVH720876:IVQ720879 JFD720876:JFM720879 JOZ720876:JPI720879 JYV720876:JZE720879 KIR720876:KJA720879 KSN720876:KSW720879 LCJ720876:LCS720879 LMF720876:LMO720879 LWB720876:LWK720879 MFX720876:MGG720879 MPT720876:MQC720879 MZP720876:MZY720879 NJL720876:NJU720879 NTH720876:NTQ720879 ODD720876:ODM720879 OMZ720876:ONI720879 OWV720876:OXE720879 PGR720876:PHA720879 PQN720876:PQW720879 QAJ720876:QAS720879 QKF720876:QKO720879 QUB720876:QUK720879 RDX720876:REG720879 RNT720876:ROC720879 RXP720876:RXY720879 SHL720876:SHU720879 SRH720876:SRQ720879 TBD720876:TBM720879 TKZ720876:TLI720879 TUV720876:TVE720879 UER720876:UFA720879 UON720876:UOW720879 UYJ720876:UYS720879 VIF720876:VIO720879 VSB720876:VSK720879 WBX720876:WCG720879 WLT720876:WMC720879 WVP720876:WVY720879 H786412:Q786415 JD786412:JM786415 SZ786412:TI786415 ACV786412:ADE786415 AMR786412:ANA786415 AWN786412:AWW786415 BGJ786412:BGS786415 BQF786412:BQO786415 CAB786412:CAK786415 CJX786412:CKG786415 CTT786412:CUC786415 DDP786412:DDY786415 DNL786412:DNU786415 DXH786412:DXQ786415 EHD786412:EHM786415 EQZ786412:ERI786415 FAV786412:FBE786415 FKR786412:FLA786415 FUN786412:FUW786415 GEJ786412:GES786415 GOF786412:GOO786415 GYB786412:GYK786415 HHX786412:HIG786415 HRT786412:HSC786415 IBP786412:IBY786415 ILL786412:ILU786415 IVH786412:IVQ786415 JFD786412:JFM786415 JOZ786412:JPI786415 JYV786412:JZE786415 KIR786412:KJA786415 KSN786412:KSW786415 LCJ786412:LCS786415 LMF786412:LMO786415 LWB786412:LWK786415 MFX786412:MGG786415 MPT786412:MQC786415 MZP786412:MZY786415 NJL786412:NJU786415 NTH786412:NTQ786415 ODD786412:ODM786415 OMZ786412:ONI786415 OWV786412:OXE786415 PGR786412:PHA786415 PQN786412:PQW786415 QAJ786412:QAS786415 QKF786412:QKO786415 QUB786412:QUK786415 RDX786412:REG786415 RNT786412:ROC786415 RXP786412:RXY786415 SHL786412:SHU786415 SRH786412:SRQ786415 TBD786412:TBM786415 TKZ786412:TLI786415 TUV786412:TVE786415 UER786412:UFA786415 UON786412:UOW786415 UYJ786412:UYS786415 VIF786412:VIO786415 VSB786412:VSK786415 WBX786412:WCG786415 WLT786412:WMC786415 WVP786412:WVY786415 H851948:Q851951 JD851948:JM851951 SZ851948:TI851951 ACV851948:ADE851951 AMR851948:ANA851951 AWN851948:AWW851951 BGJ851948:BGS851951 BQF851948:BQO851951 CAB851948:CAK851951 CJX851948:CKG851951 CTT851948:CUC851951 DDP851948:DDY851951 DNL851948:DNU851951 DXH851948:DXQ851951 EHD851948:EHM851951 EQZ851948:ERI851951 FAV851948:FBE851951 FKR851948:FLA851951 FUN851948:FUW851951 GEJ851948:GES851951 GOF851948:GOO851951 GYB851948:GYK851951 HHX851948:HIG851951 HRT851948:HSC851951 IBP851948:IBY851951 ILL851948:ILU851951 IVH851948:IVQ851951 JFD851948:JFM851951 JOZ851948:JPI851951 JYV851948:JZE851951 KIR851948:KJA851951 KSN851948:KSW851951 LCJ851948:LCS851951 LMF851948:LMO851951 LWB851948:LWK851951 MFX851948:MGG851951 MPT851948:MQC851951 MZP851948:MZY851951 NJL851948:NJU851951 NTH851948:NTQ851951 ODD851948:ODM851951 OMZ851948:ONI851951 OWV851948:OXE851951 PGR851948:PHA851951 PQN851948:PQW851951 QAJ851948:QAS851951 QKF851948:QKO851951 QUB851948:QUK851951 RDX851948:REG851951 RNT851948:ROC851951 RXP851948:RXY851951 SHL851948:SHU851951 SRH851948:SRQ851951 TBD851948:TBM851951 TKZ851948:TLI851951 TUV851948:TVE851951 UER851948:UFA851951 UON851948:UOW851951 UYJ851948:UYS851951 VIF851948:VIO851951 VSB851948:VSK851951 WBX851948:WCG851951 WLT851948:WMC851951 WVP851948:WVY851951 H917484:Q917487 JD917484:JM917487 SZ917484:TI917487 ACV917484:ADE917487 AMR917484:ANA917487 AWN917484:AWW917487 BGJ917484:BGS917487 BQF917484:BQO917487 CAB917484:CAK917487 CJX917484:CKG917487 CTT917484:CUC917487 DDP917484:DDY917487 DNL917484:DNU917487 DXH917484:DXQ917487 EHD917484:EHM917487 EQZ917484:ERI917487 FAV917484:FBE917487 FKR917484:FLA917487 FUN917484:FUW917487 GEJ917484:GES917487 GOF917484:GOO917487 GYB917484:GYK917487 HHX917484:HIG917487 HRT917484:HSC917487 IBP917484:IBY917487 ILL917484:ILU917487 IVH917484:IVQ917487 JFD917484:JFM917487 JOZ917484:JPI917487 JYV917484:JZE917487 KIR917484:KJA917487 KSN917484:KSW917487 LCJ917484:LCS917487 LMF917484:LMO917487 LWB917484:LWK917487 MFX917484:MGG917487 MPT917484:MQC917487 MZP917484:MZY917487 NJL917484:NJU917487 NTH917484:NTQ917487 ODD917484:ODM917487 OMZ917484:ONI917487 OWV917484:OXE917487 PGR917484:PHA917487 PQN917484:PQW917487 QAJ917484:QAS917487 QKF917484:QKO917487 QUB917484:QUK917487 RDX917484:REG917487 RNT917484:ROC917487 RXP917484:RXY917487 SHL917484:SHU917487 SRH917484:SRQ917487 TBD917484:TBM917487 TKZ917484:TLI917487 TUV917484:TVE917487 UER917484:UFA917487 UON917484:UOW917487 UYJ917484:UYS917487 VIF917484:VIO917487 VSB917484:VSK917487 WBX917484:WCG917487 WLT917484:WMC917487 WVP917484:WVY917487 H983020:Q983023 JD983020:JM983023 SZ983020:TI983023 ACV983020:ADE983023 AMR983020:ANA983023 AWN983020:AWW983023 BGJ983020:BGS983023 BQF983020:BQO983023 CAB983020:CAK983023 CJX983020:CKG983023 CTT983020:CUC983023 DDP983020:DDY983023 DNL983020:DNU983023 DXH983020:DXQ983023 EHD983020:EHM983023 EQZ983020:ERI983023 FAV983020:FBE983023 FKR983020:FLA983023 FUN983020:FUW983023 GEJ983020:GES983023 GOF983020:GOO983023 GYB983020:GYK983023 HHX983020:HIG983023 HRT983020:HSC983023 IBP983020:IBY983023 ILL983020:ILU983023 IVH983020:IVQ983023 JFD983020:JFM983023 JOZ983020:JPI983023 JYV983020:JZE983023 KIR983020:KJA983023 KSN983020:KSW983023 LCJ983020:LCS983023 LMF983020:LMO983023 LWB983020:LWK983023 MFX983020:MGG983023 MPT983020:MQC983023 MZP983020:MZY983023 NJL983020:NJU983023 NTH983020:NTQ983023 ODD983020:ODM983023 OMZ983020:ONI983023 OWV983020:OXE983023 PGR983020:PHA983023 PQN983020:PQW983023 QAJ983020:QAS983023 QKF983020:QKO983023 QUB983020:QUK983023 RDX983020:REG983023 RNT983020:ROC983023 RXP983020:RXY983023 SHL983020:SHU983023 SRH983020:SRQ983023 TBD983020:TBM983023 TKZ983020:TLI983023 TUV983020:TVE983023 UER983020:UFA983023 UON983020:UOW983023 UYJ983020:UYS983023 VIF983020:VIO983023 VSB983020:VSK983023 WBX983020:WCG983023 WLT983020:WMC983023 WVP983020:WVY983023 H38:P38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_2">
    <tabColor rgb="FFFF0000"/>
  </sheetPr>
  <dimension ref="A1:Z118"/>
  <sheetViews>
    <sheetView showGridLines="0" zoomScaleNormal="100" workbookViewId="0">
      <pane xSplit="6" ySplit="7" topLeftCell="G8" activePane="bottomRight" state="frozen"/>
      <selection activeCell="I91" sqref="I91"/>
      <selection pane="topRight" activeCell="I91" sqref="I91"/>
      <selection pane="bottomLeft" activeCell="I91" sqref="I91"/>
      <selection pane="bottomRight" activeCell="G7" sqref="G7"/>
    </sheetView>
  </sheetViews>
  <sheetFormatPr defaultRowHeight="11.25"/>
  <cols>
    <col min="1" max="1" width="8.5703125" style="1092" hidden="1" customWidth="1"/>
    <col min="2" max="2" width="9.140625" style="1092" hidden="1" customWidth="1"/>
    <col min="3" max="3" width="2.85546875" style="1092" customWidth="1"/>
    <col min="4" max="4" width="6.85546875" style="1092" customWidth="1"/>
    <col min="5" max="5" width="53.85546875" style="1092" customWidth="1"/>
    <col min="6" max="6" width="10.42578125" style="1092" customWidth="1"/>
    <col min="7" max="16" width="14" style="1093" customWidth="1"/>
    <col min="17" max="17" width="7.28515625" style="1092" customWidth="1"/>
    <col min="18" max="256" width="9.140625" style="1092"/>
    <col min="257" max="258" width="0" style="1092" hidden="1" customWidth="1"/>
    <col min="259" max="259" width="2.85546875" style="1092" customWidth="1"/>
    <col min="260" max="260" width="6.85546875" style="1092" customWidth="1"/>
    <col min="261" max="261" width="53.85546875" style="1092" customWidth="1"/>
    <col min="262" max="262" width="10.42578125" style="1092" customWidth="1"/>
    <col min="263" max="272" width="14" style="1092" customWidth="1"/>
    <col min="273" max="273" width="7.28515625" style="1092" customWidth="1"/>
    <col min="274" max="512" width="9.140625" style="1092"/>
    <col min="513" max="514" width="0" style="1092" hidden="1" customWidth="1"/>
    <col min="515" max="515" width="2.85546875" style="1092" customWidth="1"/>
    <col min="516" max="516" width="6.85546875" style="1092" customWidth="1"/>
    <col min="517" max="517" width="53.85546875" style="1092" customWidth="1"/>
    <col min="518" max="518" width="10.42578125" style="1092" customWidth="1"/>
    <col min="519" max="528" width="14" style="1092" customWidth="1"/>
    <col min="529" max="529" width="7.28515625" style="1092" customWidth="1"/>
    <col min="530" max="768" width="9.140625" style="1092"/>
    <col min="769" max="770" width="0" style="1092" hidden="1" customWidth="1"/>
    <col min="771" max="771" width="2.85546875" style="1092" customWidth="1"/>
    <col min="772" max="772" width="6.85546875" style="1092" customWidth="1"/>
    <col min="773" max="773" width="53.85546875" style="1092" customWidth="1"/>
    <col min="774" max="774" width="10.42578125" style="1092" customWidth="1"/>
    <col min="775" max="784" width="14" style="1092" customWidth="1"/>
    <col min="785" max="785" width="7.28515625" style="1092" customWidth="1"/>
    <col min="786" max="1024" width="9.140625" style="1092"/>
    <col min="1025" max="1026" width="0" style="1092" hidden="1" customWidth="1"/>
    <col min="1027" max="1027" width="2.85546875" style="1092" customWidth="1"/>
    <col min="1028" max="1028" width="6.85546875" style="1092" customWidth="1"/>
    <col min="1029" max="1029" width="53.85546875" style="1092" customWidth="1"/>
    <col min="1030" max="1030" width="10.42578125" style="1092" customWidth="1"/>
    <col min="1031" max="1040" width="14" style="1092" customWidth="1"/>
    <col min="1041" max="1041" width="7.28515625" style="1092" customWidth="1"/>
    <col min="1042" max="1280" width="9.140625" style="1092"/>
    <col min="1281" max="1282" width="0" style="1092" hidden="1" customWidth="1"/>
    <col min="1283" max="1283" width="2.85546875" style="1092" customWidth="1"/>
    <col min="1284" max="1284" width="6.85546875" style="1092" customWidth="1"/>
    <col min="1285" max="1285" width="53.85546875" style="1092" customWidth="1"/>
    <col min="1286" max="1286" width="10.42578125" style="1092" customWidth="1"/>
    <col min="1287" max="1296" width="14" style="1092" customWidth="1"/>
    <col min="1297" max="1297" width="7.28515625" style="1092" customWidth="1"/>
    <col min="1298" max="1536" width="9.140625" style="1092"/>
    <col min="1537" max="1538" width="0" style="1092" hidden="1" customWidth="1"/>
    <col min="1539" max="1539" width="2.85546875" style="1092" customWidth="1"/>
    <col min="1540" max="1540" width="6.85546875" style="1092" customWidth="1"/>
    <col min="1541" max="1541" width="53.85546875" style="1092" customWidth="1"/>
    <col min="1542" max="1542" width="10.42578125" style="1092" customWidth="1"/>
    <col min="1543" max="1552" width="14" style="1092" customWidth="1"/>
    <col min="1553" max="1553" width="7.28515625" style="1092" customWidth="1"/>
    <col min="1554" max="1792" width="9.140625" style="1092"/>
    <col min="1793" max="1794" width="0" style="1092" hidden="1" customWidth="1"/>
    <col min="1795" max="1795" width="2.85546875" style="1092" customWidth="1"/>
    <col min="1796" max="1796" width="6.85546875" style="1092" customWidth="1"/>
    <col min="1797" max="1797" width="53.85546875" style="1092" customWidth="1"/>
    <col min="1798" max="1798" width="10.42578125" style="1092" customWidth="1"/>
    <col min="1799" max="1808" width="14" style="1092" customWidth="1"/>
    <col min="1809" max="1809" width="7.28515625" style="1092" customWidth="1"/>
    <col min="1810" max="2048" width="9.140625" style="1092"/>
    <col min="2049" max="2050" width="0" style="1092" hidden="1" customWidth="1"/>
    <col min="2051" max="2051" width="2.85546875" style="1092" customWidth="1"/>
    <col min="2052" max="2052" width="6.85546875" style="1092" customWidth="1"/>
    <col min="2053" max="2053" width="53.85546875" style="1092" customWidth="1"/>
    <col min="2054" max="2054" width="10.42578125" style="1092" customWidth="1"/>
    <col min="2055" max="2064" width="14" style="1092" customWidth="1"/>
    <col min="2065" max="2065" width="7.28515625" style="1092" customWidth="1"/>
    <col min="2066" max="2304" width="9.140625" style="1092"/>
    <col min="2305" max="2306" width="0" style="1092" hidden="1" customWidth="1"/>
    <col min="2307" max="2307" width="2.85546875" style="1092" customWidth="1"/>
    <col min="2308" max="2308" width="6.85546875" style="1092" customWidth="1"/>
    <col min="2309" max="2309" width="53.85546875" style="1092" customWidth="1"/>
    <col min="2310" max="2310" width="10.42578125" style="1092" customWidth="1"/>
    <col min="2311" max="2320" width="14" style="1092" customWidth="1"/>
    <col min="2321" max="2321" width="7.28515625" style="1092" customWidth="1"/>
    <col min="2322" max="2560" width="9.140625" style="1092"/>
    <col min="2561" max="2562" width="0" style="1092" hidden="1" customWidth="1"/>
    <col min="2563" max="2563" width="2.85546875" style="1092" customWidth="1"/>
    <col min="2564" max="2564" width="6.85546875" style="1092" customWidth="1"/>
    <col min="2565" max="2565" width="53.85546875" style="1092" customWidth="1"/>
    <col min="2566" max="2566" width="10.42578125" style="1092" customWidth="1"/>
    <col min="2567" max="2576" width="14" style="1092" customWidth="1"/>
    <col min="2577" max="2577" width="7.28515625" style="1092" customWidth="1"/>
    <col min="2578" max="2816" width="9.140625" style="1092"/>
    <col min="2817" max="2818" width="0" style="1092" hidden="1" customWidth="1"/>
    <col min="2819" max="2819" width="2.85546875" style="1092" customWidth="1"/>
    <col min="2820" max="2820" width="6.85546875" style="1092" customWidth="1"/>
    <col min="2821" max="2821" width="53.85546875" style="1092" customWidth="1"/>
    <col min="2822" max="2822" width="10.42578125" style="1092" customWidth="1"/>
    <col min="2823" max="2832" width="14" style="1092" customWidth="1"/>
    <col min="2833" max="2833" width="7.28515625" style="1092" customWidth="1"/>
    <col min="2834" max="3072" width="9.140625" style="1092"/>
    <col min="3073" max="3074" width="0" style="1092" hidden="1" customWidth="1"/>
    <col min="3075" max="3075" width="2.85546875" style="1092" customWidth="1"/>
    <col min="3076" max="3076" width="6.85546875" style="1092" customWidth="1"/>
    <col min="3077" max="3077" width="53.85546875" style="1092" customWidth="1"/>
    <col min="3078" max="3078" width="10.42578125" style="1092" customWidth="1"/>
    <col min="3079" max="3088" width="14" style="1092" customWidth="1"/>
    <col min="3089" max="3089" width="7.28515625" style="1092" customWidth="1"/>
    <col min="3090" max="3328" width="9.140625" style="1092"/>
    <col min="3329" max="3330" width="0" style="1092" hidden="1" customWidth="1"/>
    <col min="3331" max="3331" width="2.85546875" style="1092" customWidth="1"/>
    <col min="3332" max="3332" width="6.85546875" style="1092" customWidth="1"/>
    <col min="3333" max="3333" width="53.85546875" style="1092" customWidth="1"/>
    <col min="3334" max="3334" width="10.42578125" style="1092" customWidth="1"/>
    <col min="3335" max="3344" width="14" style="1092" customWidth="1"/>
    <col min="3345" max="3345" width="7.28515625" style="1092" customWidth="1"/>
    <col min="3346" max="3584" width="9.140625" style="1092"/>
    <col min="3585" max="3586" width="0" style="1092" hidden="1" customWidth="1"/>
    <col min="3587" max="3587" width="2.85546875" style="1092" customWidth="1"/>
    <col min="3588" max="3588" width="6.85546875" style="1092" customWidth="1"/>
    <col min="3589" max="3589" width="53.85546875" style="1092" customWidth="1"/>
    <col min="3590" max="3590" width="10.42578125" style="1092" customWidth="1"/>
    <col min="3591" max="3600" width="14" style="1092" customWidth="1"/>
    <col min="3601" max="3601" width="7.28515625" style="1092" customWidth="1"/>
    <col min="3602" max="3840" width="9.140625" style="1092"/>
    <col min="3841" max="3842" width="0" style="1092" hidden="1" customWidth="1"/>
    <col min="3843" max="3843" width="2.85546875" style="1092" customWidth="1"/>
    <col min="3844" max="3844" width="6.85546875" style="1092" customWidth="1"/>
    <col min="3845" max="3845" width="53.85546875" style="1092" customWidth="1"/>
    <col min="3846" max="3846" width="10.42578125" style="1092" customWidth="1"/>
    <col min="3847" max="3856" width="14" style="1092" customWidth="1"/>
    <col min="3857" max="3857" width="7.28515625" style="1092" customWidth="1"/>
    <col min="3858" max="4096" width="9.140625" style="1092"/>
    <col min="4097" max="4098" width="0" style="1092" hidden="1" customWidth="1"/>
    <col min="4099" max="4099" width="2.85546875" style="1092" customWidth="1"/>
    <col min="4100" max="4100" width="6.85546875" style="1092" customWidth="1"/>
    <col min="4101" max="4101" width="53.85546875" style="1092" customWidth="1"/>
    <col min="4102" max="4102" width="10.42578125" style="1092" customWidth="1"/>
    <col min="4103" max="4112" width="14" style="1092" customWidth="1"/>
    <col min="4113" max="4113" width="7.28515625" style="1092" customWidth="1"/>
    <col min="4114" max="4352" width="9.140625" style="1092"/>
    <col min="4353" max="4354" width="0" style="1092" hidden="1" customWidth="1"/>
    <col min="4355" max="4355" width="2.85546875" style="1092" customWidth="1"/>
    <col min="4356" max="4356" width="6.85546875" style="1092" customWidth="1"/>
    <col min="4357" max="4357" width="53.85546875" style="1092" customWidth="1"/>
    <col min="4358" max="4358" width="10.42578125" style="1092" customWidth="1"/>
    <col min="4359" max="4368" width="14" style="1092" customWidth="1"/>
    <col min="4369" max="4369" width="7.28515625" style="1092" customWidth="1"/>
    <col min="4370" max="4608" width="9.140625" style="1092"/>
    <col min="4609" max="4610" width="0" style="1092" hidden="1" customWidth="1"/>
    <col min="4611" max="4611" width="2.85546875" style="1092" customWidth="1"/>
    <col min="4612" max="4612" width="6.85546875" style="1092" customWidth="1"/>
    <col min="4613" max="4613" width="53.85546875" style="1092" customWidth="1"/>
    <col min="4614" max="4614" width="10.42578125" style="1092" customWidth="1"/>
    <col min="4615" max="4624" width="14" style="1092" customWidth="1"/>
    <col min="4625" max="4625" width="7.28515625" style="1092" customWidth="1"/>
    <col min="4626" max="4864" width="9.140625" style="1092"/>
    <col min="4865" max="4866" width="0" style="1092" hidden="1" customWidth="1"/>
    <col min="4867" max="4867" width="2.85546875" style="1092" customWidth="1"/>
    <col min="4868" max="4868" width="6.85546875" style="1092" customWidth="1"/>
    <col min="4869" max="4869" width="53.85546875" style="1092" customWidth="1"/>
    <col min="4870" max="4870" width="10.42578125" style="1092" customWidth="1"/>
    <col min="4871" max="4880" width="14" style="1092" customWidth="1"/>
    <col min="4881" max="4881" width="7.28515625" style="1092" customWidth="1"/>
    <col min="4882" max="5120" width="9.140625" style="1092"/>
    <col min="5121" max="5122" width="0" style="1092" hidden="1" customWidth="1"/>
    <col min="5123" max="5123" width="2.85546875" style="1092" customWidth="1"/>
    <col min="5124" max="5124" width="6.85546875" style="1092" customWidth="1"/>
    <col min="5125" max="5125" width="53.85546875" style="1092" customWidth="1"/>
    <col min="5126" max="5126" width="10.42578125" style="1092" customWidth="1"/>
    <col min="5127" max="5136" width="14" style="1092" customWidth="1"/>
    <col min="5137" max="5137" width="7.28515625" style="1092" customWidth="1"/>
    <col min="5138" max="5376" width="9.140625" style="1092"/>
    <col min="5377" max="5378" width="0" style="1092" hidden="1" customWidth="1"/>
    <col min="5379" max="5379" width="2.85546875" style="1092" customWidth="1"/>
    <col min="5380" max="5380" width="6.85546875" style="1092" customWidth="1"/>
    <col min="5381" max="5381" width="53.85546875" style="1092" customWidth="1"/>
    <col min="5382" max="5382" width="10.42578125" style="1092" customWidth="1"/>
    <col min="5383" max="5392" width="14" style="1092" customWidth="1"/>
    <col min="5393" max="5393" width="7.28515625" style="1092" customWidth="1"/>
    <col min="5394" max="5632" width="9.140625" style="1092"/>
    <col min="5633" max="5634" width="0" style="1092" hidden="1" customWidth="1"/>
    <col min="5635" max="5635" width="2.85546875" style="1092" customWidth="1"/>
    <col min="5636" max="5636" width="6.85546875" style="1092" customWidth="1"/>
    <col min="5637" max="5637" width="53.85546875" style="1092" customWidth="1"/>
    <col min="5638" max="5638" width="10.42578125" style="1092" customWidth="1"/>
    <col min="5639" max="5648" width="14" style="1092" customWidth="1"/>
    <col min="5649" max="5649" width="7.28515625" style="1092" customWidth="1"/>
    <col min="5650" max="5888" width="9.140625" style="1092"/>
    <col min="5889" max="5890" width="0" style="1092" hidden="1" customWidth="1"/>
    <col min="5891" max="5891" width="2.85546875" style="1092" customWidth="1"/>
    <col min="5892" max="5892" width="6.85546875" style="1092" customWidth="1"/>
    <col min="5893" max="5893" width="53.85546875" style="1092" customWidth="1"/>
    <col min="5894" max="5894" width="10.42578125" style="1092" customWidth="1"/>
    <col min="5895" max="5904" width="14" style="1092" customWidth="1"/>
    <col min="5905" max="5905" width="7.28515625" style="1092" customWidth="1"/>
    <col min="5906" max="6144" width="9.140625" style="1092"/>
    <col min="6145" max="6146" width="0" style="1092" hidden="1" customWidth="1"/>
    <col min="6147" max="6147" width="2.85546875" style="1092" customWidth="1"/>
    <col min="6148" max="6148" width="6.85546875" style="1092" customWidth="1"/>
    <col min="6149" max="6149" width="53.85546875" style="1092" customWidth="1"/>
    <col min="6150" max="6150" width="10.42578125" style="1092" customWidth="1"/>
    <col min="6151" max="6160" width="14" style="1092" customWidth="1"/>
    <col min="6161" max="6161" width="7.28515625" style="1092" customWidth="1"/>
    <col min="6162" max="6400" width="9.140625" style="1092"/>
    <col min="6401" max="6402" width="0" style="1092" hidden="1" customWidth="1"/>
    <col min="6403" max="6403" width="2.85546875" style="1092" customWidth="1"/>
    <col min="6404" max="6404" width="6.85546875" style="1092" customWidth="1"/>
    <col min="6405" max="6405" width="53.85546875" style="1092" customWidth="1"/>
    <col min="6406" max="6406" width="10.42578125" style="1092" customWidth="1"/>
    <col min="6407" max="6416" width="14" style="1092" customWidth="1"/>
    <col min="6417" max="6417" width="7.28515625" style="1092" customWidth="1"/>
    <col min="6418" max="6656" width="9.140625" style="1092"/>
    <col min="6657" max="6658" width="0" style="1092" hidden="1" customWidth="1"/>
    <col min="6659" max="6659" width="2.85546875" style="1092" customWidth="1"/>
    <col min="6660" max="6660" width="6.85546875" style="1092" customWidth="1"/>
    <col min="6661" max="6661" width="53.85546875" style="1092" customWidth="1"/>
    <col min="6662" max="6662" width="10.42578125" style="1092" customWidth="1"/>
    <col min="6663" max="6672" width="14" style="1092" customWidth="1"/>
    <col min="6673" max="6673" width="7.28515625" style="1092" customWidth="1"/>
    <col min="6674" max="6912" width="9.140625" style="1092"/>
    <col min="6913" max="6914" width="0" style="1092" hidden="1" customWidth="1"/>
    <col min="6915" max="6915" width="2.85546875" style="1092" customWidth="1"/>
    <col min="6916" max="6916" width="6.85546875" style="1092" customWidth="1"/>
    <col min="6917" max="6917" width="53.85546875" style="1092" customWidth="1"/>
    <col min="6918" max="6918" width="10.42578125" style="1092" customWidth="1"/>
    <col min="6919" max="6928" width="14" style="1092" customWidth="1"/>
    <col min="6929" max="6929" width="7.28515625" style="1092" customWidth="1"/>
    <col min="6930" max="7168" width="9.140625" style="1092"/>
    <col min="7169" max="7170" width="0" style="1092" hidden="1" customWidth="1"/>
    <col min="7171" max="7171" width="2.85546875" style="1092" customWidth="1"/>
    <col min="7172" max="7172" width="6.85546875" style="1092" customWidth="1"/>
    <col min="7173" max="7173" width="53.85546875" style="1092" customWidth="1"/>
    <col min="7174" max="7174" width="10.42578125" style="1092" customWidth="1"/>
    <col min="7175" max="7184" width="14" style="1092" customWidth="1"/>
    <col min="7185" max="7185" width="7.28515625" style="1092" customWidth="1"/>
    <col min="7186" max="7424" width="9.140625" style="1092"/>
    <col min="7425" max="7426" width="0" style="1092" hidden="1" customWidth="1"/>
    <col min="7427" max="7427" width="2.85546875" style="1092" customWidth="1"/>
    <col min="7428" max="7428" width="6.85546875" style="1092" customWidth="1"/>
    <col min="7429" max="7429" width="53.85546875" style="1092" customWidth="1"/>
    <col min="7430" max="7430" width="10.42578125" style="1092" customWidth="1"/>
    <col min="7431" max="7440" width="14" style="1092" customWidth="1"/>
    <col min="7441" max="7441" width="7.28515625" style="1092" customWidth="1"/>
    <col min="7442" max="7680" width="9.140625" style="1092"/>
    <col min="7681" max="7682" width="0" style="1092" hidden="1" customWidth="1"/>
    <col min="7683" max="7683" width="2.85546875" style="1092" customWidth="1"/>
    <col min="7684" max="7684" width="6.85546875" style="1092" customWidth="1"/>
    <col min="7685" max="7685" width="53.85546875" style="1092" customWidth="1"/>
    <col min="7686" max="7686" width="10.42578125" style="1092" customWidth="1"/>
    <col min="7687" max="7696" width="14" style="1092" customWidth="1"/>
    <col min="7697" max="7697" width="7.28515625" style="1092" customWidth="1"/>
    <col min="7698" max="7936" width="9.140625" style="1092"/>
    <col min="7937" max="7938" width="0" style="1092" hidden="1" customWidth="1"/>
    <col min="7939" max="7939" width="2.85546875" style="1092" customWidth="1"/>
    <col min="7940" max="7940" width="6.85546875" style="1092" customWidth="1"/>
    <col min="7941" max="7941" width="53.85546875" style="1092" customWidth="1"/>
    <col min="7942" max="7942" width="10.42578125" style="1092" customWidth="1"/>
    <col min="7943" max="7952" width="14" style="1092" customWidth="1"/>
    <col min="7953" max="7953" width="7.28515625" style="1092" customWidth="1"/>
    <col min="7954" max="8192" width="9.140625" style="1092"/>
    <col min="8193" max="8194" width="0" style="1092" hidden="1" customWidth="1"/>
    <col min="8195" max="8195" width="2.85546875" style="1092" customWidth="1"/>
    <col min="8196" max="8196" width="6.85546875" style="1092" customWidth="1"/>
    <col min="8197" max="8197" width="53.85546875" style="1092" customWidth="1"/>
    <col min="8198" max="8198" width="10.42578125" style="1092" customWidth="1"/>
    <col min="8199" max="8208" width="14" style="1092" customWidth="1"/>
    <col min="8209" max="8209" width="7.28515625" style="1092" customWidth="1"/>
    <col min="8210" max="8448" width="9.140625" style="1092"/>
    <col min="8449" max="8450" width="0" style="1092" hidden="1" customWidth="1"/>
    <col min="8451" max="8451" width="2.85546875" style="1092" customWidth="1"/>
    <col min="8452" max="8452" width="6.85546875" style="1092" customWidth="1"/>
    <col min="8453" max="8453" width="53.85546875" style="1092" customWidth="1"/>
    <col min="8454" max="8454" width="10.42578125" style="1092" customWidth="1"/>
    <col min="8455" max="8464" width="14" style="1092" customWidth="1"/>
    <col min="8465" max="8465" width="7.28515625" style="1092" customWidth="1"/>
    <col min="8466" max="8704" width="9.140625" style="1092"/>
    <col min="8705" max="8706" width="0" style="1092" hidden="1" customWidth="1"/>
    <col min="8707" max="8707" width="2.85546875" style="1092" customWidth="1"/>
    <col min="8708" max="8708" width="6.85546875" style="1092" customWidth="1"/>
    <col min="8709" max="8709" width="53.85546875" style="1092" customWidth="1"/>
    <col min="8710" max="8710" width="10.42578125" style="1092" customWidth="1"/>
    <col min="8711" max="8720" width="14" style="1092" customWidth="1"/>
    <col min="8721" max="8721" width="7.28515625" style="1092" customWidth="1"/>
    <col min="8722" max="8960" width="9.140625" style="1092"/>
    <col min="8961" max="8962" width="0" style="1092" hidden="1" customWidth="1"/>
    <col min="8963" max="8963" width="2.85546875" style="1092" customWidth="1"/>
    <col min="8964" max="8964" width="6.85546875" style="1092" customWidth="1"/>
    <col min="8965" max="8965" width="53.85546875" style="1092" customWidth="1"/>
    <col min="8966" max="8966" width="10.42578125" style="1092" customWidth="1"/>
    <col min="8967" max="8976" width="14" style="1092" customWidth="1"/>
    <col min="8977" max="8977" width="7.28515625" style="1092" customWidth="1"/>
    <col min="8978" max="9216" width="9.140625" style="1092"/>
    <col min="9217" max="9218" width="0" style="1092" hidden="1" customWidth="1"/>
    <col min="9219" max="9219" width="2.85546875" style="1092" customWidth="1"/>
    <col min="9220" max="9220" width="6.85546875" style="1092" customWidth="1"/>
    <col min="9221" max="9221" width="53.85546875" style="1092" customWidth="1"/>
    <col min="9222" max="9222" width="10.42578125" style="1092" customWidth="1"/>
    <col min="9223" max="9232" width="14" style="1092" customWidth="1"/>
    <col min="9233" max="9233" width="7.28515625" style="1092" customWidth="1"/>
    <col min="9234" max="9472" width="9.140625" style="1092"/>
    <col min="9473" max="9474" width="0" style="1092" hidden="1" customWidth="1"/>
    <col min="9475" max="9475" width="2.85546875" style="1092" customWidth="1"/>
    <col min="9476" max="9476" width="6.85546875" style="1092" customWidth="1"/>
    <col min="9477" max="9477" width="53.85546875" style="1092" customWidth="1"/>
    <col min="9478" max="9478" width="10.42578125" style="1092" customWidth="1"/>
    <col min="9479" max="9488" width="14" style="1092" customWidth="1"/>
    <col min="9489" max="9489" width="7.28515625" style="1092" customWidth="1"/>
    <col min="9490" max="9728" width="9.140625" style="1092"/>
    <col min="9729" max="9730" width="0" style="1092" hidden="1" customWidth="1"/>
    <col min="9731" max="9731" width="2.85546875" style="1092" customWidth="1"/>
    <col min="9732" max="9732" width="6.85546875" style="1092" customWidth="1"/>
    <col min="9733" max="9733" width="53.85546875" style="1092" customWidth="1"/>
    <col min="9734" max="9734" width="10.42578125" style="1092" customWidth="1"/>
    <col min="9735" max="9744" width="14" style="1092" customWidth="1"/>
    <col min="9745" max="9745" width="7.28515625" style="1092" customWidth="1"/>
    <col min="9746" max="9984" width="9.140625" style="1092"/>
    <col min="9985" max="9986" width="0" style="1092" hidden="1" customWidth="1"/>
    <col min="9987" max="9987" width="2.85546875" style="1092" customWidth="1"/>
    <col min="9988" max="9988" width="6.85546875" style="1092" customWidth="1"/>
    <col min="9989" max="9989" width="53.85546875" style="1092" customWidth="1"/>
    <col min="9990" max="9990" width="10.42578125" style="1092" customWidth="1"/>
    <col min="9991" max="10000" width="14" style="1092" customWidth="1"/>
    <col min="10001" max="10001" width="7.28515625" style="1092" customWidth="1"/>
    <col min="10002" max="10240" width="9.140625" style="1092"/>
    <col min="10241" max="10242" width="0" style="1092" hidden="1" customWidth="1"/>
    <col min="10243" max="10243" width="2.85546875" style="1092" customWidth="1"/>
    <col min="10244" max="10244" width="6.85546875" style="1092" customWidth="1"/>
    <col min="10245" max="10245" width="53.85546875" style="1092" customWidth="1"/>
    <col min="10246" max="10246" width="10.42578125" style="1092" customWidth="1"/>
    <col min="10247" max="10256" width="14" style="1092" customWidth="1"/>
    <col min="10257" max="10257" width="7.28515625" style="1092" customWidth="1"/>
    <col min="10258" max="10496" width="9.140625" style="1092"/>
    <col min="10497" max="10498" width="0" style="1092" hidden="1" customWidth="1"/>
    <col min="10499" max="10499" width="2.85546875" style="1092" customWidth="1"/>
    <col min="10500" max="10500" width="6.85546875" style="1092" customWidth="1"/>
    <col min="10501" max="10501" width="53.85546875" style="1092" customWidth="1"/>
    <col min="10502" max="10502" width="10.42578125" style="1092" customWidth="1"/>
    <col min="10503" max="10512" width="14" style="1092" customWidth="1"/>
    <col min="10513" max="10513" width="7.28515625" style="1092" customWidth="1"/>
    <col min="10514" max="10752" width="9.140625" style="1092"/>
    <col min="10753" max="10754" width="0" style="1092" hidden="1" customWidth="1"/>
    <col min="10755" max="10755" width="2.85546875" style="1092" customWidth="1"/>
    <col min="10756" max="10756" width="6.85546875" style="1092" customWidth="1"/>
    <col min="10757" max="10757" width="53.85546875" style="1092" customWidth="1"/>
    <col min="10758" max="10758" width="10.42578125" style="1092" customWidth="1"/>
    <col min="10759" max="10768" width="14" style="1092" customWidth="1"/>
    <col min="10769" max="10769" width="7.28515625" style="1092" customWidth="1"/>
    <col min="10770" max="11008" width="9.140625" style="1092"/>
    <col min="11009" max="11010" width="0" style="1092" hidden="1" customWidth="1"/>
    <col min="11011" max="11011" width="2.85546875" style="1092" customWidth="1"/>
    <col min="11012" max="11012" width="6.85546875" style="1092" customWidth="1"/>
    <col min="11013" max="11013" width="53.85546875" style="1092" customWidth="1"/>
    <col min="11014" max="11014" width="10.42578125" style="1092" customWidth="1"/>
    <col min="11015" max="11024" width="14" style="1092" customWidth="1"/>
    <col min="11025" max="11025" width="7.28515625" style="1092" customWidth="1"/>
    <col min="11026" max="11264" width="9.140625" style="1092"/>
    <col min="11265" max="11266" width="0" style="1092" hidden="1" customWidth="1"/>
    <col min="11267" max="11267" width="2.85546875" style="1092" customWidth="1"/>
    <col min="11268" max="11268" width="6.85546875" style="1092" customWidth="1"/>
    <col min="11269" max="11269" width="53.85546875" style="1092" customWidth="1"/>
    <col min="11270" max="11270" width="10.42578125" style="1092" customWidth="1"/>
    <col min="11271" max="11280" width="14" style="1092" customWidth="1"/>
    <col min="11281" max="11281" width="7.28515625" style="1092" customWidth="1"/>
    <col min="11282" max="11520" width="9.140625" style="1092"/>
    <col min="11521" max="11522" width="0" style="1092" hidden="1" customWidth="1"/>
    <col min="11523" max="11523" width="2.85546875" style="1092" customWidth="1"/>
    <col min="11524" max="11524" width="6.85546875" style="1092" customWidth="1"/>
    <col min="11525" max="11525" width="53.85546875" style="1092" customWidth="1"/>
    <col min="11526" max="11526" width="10.42578125" style="1092" customWidth="1"/>
    <col min="11527" max="11536" width="14" style="1092" customWidth="1"/>
    <col min="11537" max="11537" width="7.28515625" style="1092" customWidth="1"/>
    <col min="11538" max="11776" width="9.140625" style="1092"/>
    <col min="11777" max="11778" width="0" style="1092" hidden="1" customWidth="1"/>
    <col min="11779" max="11779" width="2.85546875" style="1092" customWidth="1"/>
    <col min="11780" max="11780" width="6.85546875" style="1092" customWidth="1"/>
    <col min="11781" max="11781" width="53.85546875" style="1092" customWidth="1"/>
    <col min="11782" max="11782" width="10.42578125" style="1092" customWidth="1"/>
    <col min="11783" max="11792" width="14" style="1092" customWidth="1"/>
    <col min="11793" max="11793" width="7.28515625" style="1092" customWidth="1"/>
    <col min="11794" max="12032" width="9.140625" style="1092"/>
    <col min="12033" max="12034" width="0" style="1092" hidden="1" customWidth="1"/>
    <col min="12035" max="12035" width="2.85546875" style="1092" customWidth="1"/>
    <col min="12036" max="12036" width="6.85546875" style="1092" customWidth="1"/>
    <col min="12037" max="12037" width="53.85546875" style="1092" customWidth="1"/>
    <col min="12038" max="12038" width="10.42578125" style="1092" customWidth="1"/>
    <col min="12039" max="12048" width="14" style="1092" customWidth="1"/>
    <col min="12049" max="12049" width="7.28515625" style="1092" customWidth="1"/>
    <col min="12050" max="12288" width="9.140625" style="1092"/>
    <col min="12289" max="12290" width="0" style="1092" hidden="1" customWidth="1"/>
    <col min="12291" max="12291" width="2.85546875" style="1092" customWidth="1"/>
    <col min="12292" max="12292" width="6.85546875" style="1092" customWidth="1"/>
    <col min="12293" max="12293" width="53.85546875" style="1092" customWidth="1"/>
    <col min="12294" max="12294" width="10.42578125" style="1092" customWidth="1"/>
    <col min="12295" max="12304" width="14" style="1092" customWidth="1"/>
    <col min="12305" max="12305" width="7.28515625" style="1092" customWidth="1"/>
    <col min="12306" max="12544" width="9.140625" style="1092"/>
    <col min="12545" max="12546" width="0" style="1092" hidden="1" customWidth="1"/>
    <col min="12547" max="12547" width="2.85546875" style="1092" customWidth="1"/>
    <col min="12548" max="12548" width="6.85546875" style="1092" customWidth="1"/>
    <col min="12549" max="12549" width="53.85546875" style="1092" customWidth="1"/>
    <col min="12550" max="12550" width="10.42578125" style="1092" customWidth="1"/>
    <col min="12551" max="12560" width="14" style="1092" customWidth="1"/>
    <col min="12561" max="12561" width="7.28515625" style="1092" customWidth="1"/>
    <col min="12562" max="12800" width="9.140625" style="1092"/>
    <col min="12801" max="12802" width="0" style="1092" hidden="1" customWidth="1"/>
    <col min="12803" max="12803" width="2.85546875" style="1092" customWidth="1"/>
    <col min="12804" max="12804" width="6.85546875" style="1092" customWidth="1"/>
    <col min="12805" max="12805" width="53.85546875" style="1092" customWidth="1"/>
    <col min="12806" max="12806" width="10.42578125" style="1092" customWidth="1"/>
    <col min="12807" max="12816" width="14" style="1092" customWidth="1"/>
    <col min="12817" max="12817" width="7.28515625" style="1092" customWidth="1"/>
    <col min="12818" max="13056" width="9.140625" style="1092"/>
    <col min="13057" max="13058" width="0" style="1092" hidden="1" customWidth="1"/>
    <col min="13059" max="13059" width="2.85546875" style="1092" customWidth="1"/>
    <col min="13060" max="13060" width="6.85546875" style="1092" customWidth="1"/>
    <col min="13061" max="13061" width="53.85546875" style="1092" customWidth="1"/>
    <col min="13062" max="13062" width="10.42578125" style="1092" customWidth="1"/>
    <col min="13063" max="13072" width="14" style="1092" customWidth="1"/>
    <col min="13073" max="13073" width="7.28515625" style="1092" customWidth="1"/>
    <col min="13074" max="13312" width="9.140625" style="1092"/>
    <col min="13313" max="13314" width="0" style="1092" hidden="1" customWidth="1"/>
    <col min="13315" max="13315" width="2.85546875" style="1092" customWidth="1"/>
    <col min="13316" max="13316" width="6.85546875" style="1092" customWidth="1"/>
    <col min="13317" max="13317" width="53.85546875" style="1092" customWidth="1"/>
    <col min="13318" max="13318" width="10.42578125" style="1092" customWidth="1"/>
    <col min="13319" max="13328" width="14" style="1092" customWidth="1"/>
    <col min="13329" max="13329" width="7.28515625" style="1092" customWidth="1"/>
    <col min="13330" max="13568" width="9.140625" style="1092"/>
    <col min="13569" max="13570" width="0" style="1092" hidden="1" customWidth="1"/>
    <col min="13571" max="13571" width="2.85546875" style="1092" customWidth="1"/>
    <col min="13572" max="13572" width="6.85546875" style="1092" customWidth="1"/>
    <col min="13573" max="13573" width="53.85546875" style="1092" customWidth="1"/>
    <col min="13574" max="13574" width="10.42578125" style="1092" customWidth="1"/>
    <col min="13575" max="13584" width="14" style="1092" customWidth="1"/>
    <col min="13585" max="13585" width="7.28515625" style="1092" customWidth="1"/>
    <col min="13586" max="13824" width="9.140625" style="1092"/>
    <col min="13825" max="13826" width="0" style="1092" hidden="1" customWidth="1"/>
    <col min="13827" max="13827" width="2.85546875" style="1092" customWidth="1"/>
    <col min="13828" max="13828" width="6.85546875" style="1092" customWidth="1"/>
    <col min="13829" max="13829" width="53.85546875" style="1092" customWidth="1"/>
    <col min="13830" max="13830" width="10.42578125" style="1092" customWidth="1"/>
    <col min="13831" max="13840" width="14" style="1092" customWidth="1"/>
    <col min="13841" max="13841" width="7.28515625" style="1092" customWidth="1"/>
    <col min="13842" max="14080" width="9.140625" style="1092"/>
    <col min="14081" max="14082" width="0" style="1092" hidden="1" customWidth="1"/>
    <col min="14083" max="14083" width="2.85546875" style="1092" customWidth="1"/>
    <col min="14084" max="14084" width="6.85546875" style="1092" customWidth="1"/>
    <col min="14085" max="14085" width="53.85546875" style="1092" customWidth="1"/>
    <col min="14086" max="14086" width="10.42578125" style="1092" customWidth="1"/>
    <col min="14087" max="14096" width="14" style="1092" customWidth="1"/>
    <col min="14097" max="14097" width="7.28515625" style="1092" customWidth="1"/>
    <col min="14098" max="14336" width="9.140625" style="1092"/>
    <col min="14337" max="14338" width="0" style="1092" hidden="1" customWidth="1"/>
    <col min="14339" max="14339" width="2.85546875" style="1092" customWidth="1"/>
    <col min="14340" max="14340" width="6.85546875" style="1092" customWidth="1"/>
    <col min="14341" max="14341" width="53.85546875" style="1092" customWidth="1"/>
    <col min="14342" max="14342" width="10.42578125" style="1092" customWidth="1"/>
    <col min="14343" max="14352" width="14" style="1092" customWidth="1"/>
    <col min="14353" max="14353" width="7.28515625" style="1092" customWidth="1"/>
    <col min="14354" max="14592" width="9.140625" style="1092"/>
    <col min="14593" max="14594" width="0" style="1092" hidden="1" customWidth="1"/>
    <col min="14595" max="14595" width="2.85546875" style="1092" customWidth="1"/>
    <col min="14596" max="14596" width="6.85546875" style="1092" customWidth="1"/>
    <col min="14597" max="14597" width="53.85546875" style="1092" customWidth="1"/>
    <col min="14598" max="14598" width="10.42578125" style="1092" customWidth="1"/>
    <col min="14599" max="14608" width="14" style="1092" customWidth="1"/>
    <col min="14609" max="14609" width="7.28515625" style="1092" customWidth="1"/>
    <col min="14610" max="14848" width="9.140625" style="1092"/>
    <col min="14849" max="14850" width="0" style="1092" hidden="1" customWidth="1"/>
    <col min="14851" max="14851" width="2.85546875" style="1092" customWidth="1"/>
    <col min="14852" max="14852" width="6.85546875" style="1092" customWidth="1"/>
    <col min="14853" max="14853" width="53.85546875" style="1092" customWidth="1"/>
    <col min="14854" max="14854" width="10.42578125" style="1092" customWidth="1"/>
    <col min="14855" max="14864" width="14" style="1092" customWidth="1"/>
    <col min="14865" max="14865" width="7.28515625" style="1092" customWidth="1"/>
    <col min="14866" max="15104" width="9.140625" style="1092"/>
    <col min="15105" max="15106" width="0" style="1092" hidden="1" customWidth="1"/>
    <col min="15107" max="15107" width="2.85546875" style="1092" customWidth="1"/>
    <col min="15108" max="15108" width="6.85546875" style="1092" customWidth="1"/>
    <col min="15109" max="15109" width="53.85546875" style="1092" customWidth="1"/>
    <col min="15110" max="15110" width="10.42578125" style="1092" customWidth="1"/>
    <col min="15111" max="15120" width="14" style="1092" customWidth="1"/>
    <col min="15121" max="15121" width="7.28515625" style="1092" customWidth="1"/>
    <col min="15122" max="15360" width="9.140625" style="1092"/>
    <col min="15361" max="15362" width="0" style="1092" hidden="1" customWidth="1"/>
    <col min="15363" max="15363" width="2.85546875" style="1092" customWidth="1"/>
    <col min="15364" max="15364" width="6.85546875" style="1092" customWidth="1"/>
    <col min="15365" max="15365" width="53.85546875" style="1092" customWidth="1"/>
    <col min="15366" max="15366" width="10.42578125" style="1092" customWidth="1"/>
    <col min="15367" max="15376" width="14" style="1092" customWidth="1"/>
    <col min="15377" max="15377" width="7.28515625" style="1092" customWidth="1"/>
    <col min="15378" max="15616" width="9.140625" style="1092"/>
    <col min="15617" max="15618" width="0" style="1092" hidden="1" customWidth="1"/>
    <col min="15619" max="15619" width="2.85546875" style="1092" customWidth="1"/>
    <col min="15620" max="15620" width="6.85546875" style="1092" customWidth="1"/>
    <col min="15621" max="15621" width="53.85546875" style="1092" customWidth="1"/>
    <col min="15622" max="15622" width="10.42578125" style="1092" customWidth="1"/>
    <col min="15623" max="15632" width="14" style="1092" customWidth="1"/>
    <col min="15633" max="15633" width="7.28515625" style="1092" customWidth="1"/>
    <col min="15634" max="15872" width="9.140625" style="1092"/>
    <col min="15873" max="15874" width="0" style="1092" hidden="1" customWidth="1"/>
    <col min="15875" max="15875" width="2.85546875" style="1092" customWidth="1"/>
    <col min="15876" max="15876" width="6.85546875" style="1092" customWidth="1"/>
    <col min="15877" max="15877" width="53.85546875" style="1092" customWidth="1"/>
    <col min="15878" max="15878" width="10.42578125" style="1092" customWidth="1"/>
    <col min="15879" max="15888" width="14" style="1092" customWidth="1"/>
    <col min="15889" max="15889" width="7.28515625" style="1092" customWidth="1"/>
    <col min="15890" max="16128" width="9.140625" style="1092"/>
    <col min="16129" max="16130" width="0" style="1092" hidden="1" customWidth="1"/>
    <col min="16131" max="16131" width="2.85546875" style="1092" customWidth="1"/>
    <col min="16132" max="16132" width="6.85546875" style="1092" customWidth="1"/>
    <col min="16133" max="16133" width="53.85546875" style="1092" customWidth="1"/>
    <col min="16134" max="16134" width="10.42578125" style="1092" customWidth="1"/>
    <col min="16135" max="16144" width="14" style="1092" customWidth="1"/>
    <col min="16145" max="16145" width="7.28515625" style="1092" customWidth="1"/>
    <col min="16146" max="16384" width="9.140625" style="1092"/>
  </cols>
  <sheetData>
    <row r="1" spans="1:17" hidden="1">
      <c r="A1" s="1091"/>
    </row>
    <row r="2" spans="1:17" hidden="1"/>
    <row r="4" spans="1:17" ht="24.95" customHeight="1">
      <c r="D4" s="2508" t="s">
        <v>1006</v>
      </c>
      <c r="E4" s="2508"/>
      <c r="F4" s="2508"/>
      <c r="G4" s="1094"/>
      <c r="H4" s="1094"/>
      <c r="I4" s="1094"/>
      <c r="J4" s="1094"/>
      <c r="K4" s="1094"/>
      <c r="L4" s="1094"/>
      <c r="M4" s="1094"/>
      <c r="N4" s="1094"/>
      <c r="O4" s="1094"/>
      <c r="P4" s="1094"/>
      <c r="Q4" s="1095"/>
    </row>
    <row r="5" spans="1:17" ht="15" customHeight="1">
      <c r="D5" s="2509"/>
      <c r="E5" s="2509"/>
      <c r="F5" s="2509"/>
      <c r="G5" s="2510"/>
      <c r="H5" s="2510"/>
      <c r="I5" s="2510"/>
      <c r="J5" s="2510"/>
      <c r="K5" s="2510"/>
      <c r="L5" s="2510"/>
      <c r="M5" s="2510"/>
      <c r="N5" s="2510"/>
      <c r="O5" s="2510"/>
      <c r="P5" s="2510"/>
    </row>
    <row r="6" spans="1:17" ht="11.25" customHeight="1">
      <c r="E6" s="1096"/>
      <c r="F6" s="1097"/>
      <c r="G6" s="2511"/>
      <c r="H6" s="2512"/>
      <c r="I6" s="2512"/>
      <c r="J6" s="2512"/>
      <c r="K6" s="2512"/>
      <c r="L6" s="2512"/>
      <c r="M6" s="2512"/>
      <c r="N6" s="2512"/>
      <c r="O6" s="2512"/>
      <c r="P6" s="2513"/>
      <c r="Q6" s="1098"/>
    </row>
    <row r="7" spans="1:17" ht="22.5">
      <c r="D7" s="1099" t="s">
        <v>12</v>
      </c>
      <c r="E7" s="1100" t="s">
        <v>954</v>
      </c>
      <c r="F7" s="1101" t="s">
        <v>175</v>
      </c>
      <c r="G7" s="1102">
        <v>2014</v>
      </c>
      <c r="H7" s="1103">
        <f t="shared" ref="H7:O7" si="0">G7+1</f>
        <v>2015</v>
      </c>
      <c r="I7" s="1103">
        <f t="shared" si="0"/>
        <v>2016</v>
      </c>
      <c r="J7" s="1103">
        <f t="shared" si="0"/>
        <v>2017</v>
      </c>
      <c r="K7" s="1103">
        <f t="shared" si="0"/>
        <v>2018</v>
      </c>
      <c r="L7" s="1103">
        <f t="shared" si="0"/>
        <v>2019</v>
      </c>
      <c r="M7" s="1103">
        <f t="shared" si="0"/>
        <v>2020</v>
      </c>
      <c r="N7" s="1103">
        <f t="shared" si="0"/>
        <v>2021</v>
      </c>
      <c r="O7" s="1103">
        <f t="shared" si="0"/>
        <v>2022</v>
      </c>
      <c r="P7" s="1104">
        <v>2023</v>
      </c>
      <c r="Q7" s="1098"/>
    </row>
    <row r="8" spans="1:17">
      <c r="D8" s="1105">
        <v>1</v>
      </c>
      <c r="E8" s="1106" t="s">
        <v>1007</v>
      </c>
      <c r="F8" s="1107" t="s">
        <v>318</v>
      </c>
      <c r="G8" s="1108">
        <f t="shared" ref="G8:P8" si="1">SUM(G9:G18)</f>
        <v>0</v>
      </c>
      <c r="H8" s="1109">
        <f t="shared" si="1"/>
        <v>0</v>
      </c>
      <c r="I8" s="1109">
        <f t="shared" si="1"/>
        <v>0</v>
      </c>
      <c r="J8" s="1109">
        <f t="shared" si="1"/>
        <v>0</v>
      </c>
      <c r="K8" s="1109">
        <f t="shared" si="1"/>
        <v>0</v>
      </c>
      <c r="L8" s="1109">
        <f t="shared" si="1"/>
        <v>0</v>
      </c>
      <c r="M8" s="1109">
        <f t="shared" si="1"/>
        <v>0</v>
      </c>
      <c r="N8" s="1109">
        <f t="shared" si="1"/>
        <v>0</v>
      </c>
      <c r="O8" s="1109">
        <f t="shared" si="1"/>
        <v>0</v>
      </c>
      <c r="P8" s="1110">
        <f t="shared" si="1"/>
        <v>0</v>
      </c>
      <c r="Q8" s="1098"/>
    </row>
    <row r="9" spans="1:17">
      <c r="D9" s="1105">
        <v>2</v>
      </c>
      <c r="E9" s="1111" t="s">
        <v>1008</v>
      </c>
      <c r="F9" s="1112" t="s">
        <v>318</v>
      </c>
      <c r="G9" s="1113"/>
      <c r="H9" s="1114"/>
      <c r="I9" s="1114"/>
      <c r="J9" s="1114"/>
      <c r="K9" s="1114"/>
      <c r="L9" s="1114"/>
      <c r="M9" s="1114"/>
      <c r="N9" s="1114"/>
      <c r="O9" s="1114"/>
      <c r="P9" s="1115"/>
      <c r="Q9" s="1098"/>
    </row>
    <row r="10" spans="1:17">
      <c r="D10" s="1105">
        <v>3</v>
      </c>
      <c r="E10" s="1111" t="s">
        <v>1009</v>
      </c>
      <c r="F10" s="1112" t="s">
        <v>318</v>
      </c>
      <c r="G10" s="1113"/>
      <c r="H10" s="1114"/>
      <c r="I10" s="1114"/>
      <c r="J10" s="1114"/>
      <c r="K10" s="1114"/>
      <c r="L10" s="1114"/>
      <c r="M10" s="1114"/>
      <c r="N10" s="1114"/>
      <c r="O10" s="1114"/>
      <c r="P10" s="1115"/>
      <c r="Q10" s="1098"/>
    </row>
    <row r="11" spans="1:17">
      <c r="D11" s="1105">
        <v>4</v>
      </c>
      <c r="E11" s="1111" t="s">
        <v>1010</v>
      </c>
      <c r="F11" s="1112" t="s">
        <v>318</v>
      </c>
      <c r="G11" s="1113"/>
      <c r="H11" s="1114"/>
      <c r="I11" s="1114"/>
      <c r="J11" s="1114"/>
      <c r="K11" s="1114"/>
      <c r="L11" s="1114"/>
      <c r="M11" s="1114"/>
      <c r="N11" s="1114"/>
      <c r="O11" s="1114"/>
      <c r="P11" s="1115"/>
      <c r="Q11" s="1098"/>
    </row>
    <row r="12" spans="1:17">
      <c r="D12" s="1105">
        <v>5</v>
      </c>
      <c r="E12" s="1116" t="s">
        <v>1011</v>
      </c>
      <c r="F12" s="1112" t="s">
        <v>318</v>
      </c>
      <c r="G12" s="1113"/>
      <c r="H12" s="1114"/>
      <c r="I12" s="1114"/>
      <c r="J12" s="1114"/>
      <c r="K12" s="1114"/>
      <c r="L12" s="1114"/>
      <c r="M12" s="1114"/>
      <c r="N12" s="1114"/>
      <c r="O12" s="1114"/>
      <c r="P12" s="1115"/>
      <c r="Q12" s="1098"/>
    </row>
    <row r="13" spans="1:17">
      <c r="D13" s="1105" t="s">
        <v>398</v>
      </c>
      <c r="E13" s="1117" t="s">
        <v>1012</v>
      </c>
      <c r="F13" s="1112" t="s">
        <v>318</v>
      </c>
      <c r="G13" s="1118"/>
      <c r="H13" s="1119"/>
      <c r="I13" s="1119"/>
      <c r="J13" s="1119"/>
      <c r="K13" s="1119"/>
      <c r="L13" s="1119"/>
      <c r="M13" s="1119"/>
      <c r="N13" s="1119"/>
      <c r="O13" s="1119"/>
      <c r="P13" s="1120"/>
      <c r="Q13" s="1098"/>
    </row>
    <row r="14" spans="1:17">
      <c r="D14" s="1105" t="s">
        <v>399</v>
      </c>
      <c r="E14" s="1116" t="s">
        <v>1013</v>
      </c>
      <c r="F14" s="1112" t="s">
        <v>318</v>
      </c>
      <c r="G14" s="1121"/>
      <c r="H14" s="1122"/>
      <c r="I14" s="1122"/>
      <c r="J14" s="1122"/>
      <c r="K14" s="1122"/>
      <c r="L14" s="1122"/>
      <c r="M14" s="1122"/>
      <c r="N14" s="1122"/>
      <c r="O14" s="1122"/>
      <c r="P14" s="1123"/>
      <c r="Q14" s="1098"/>
    </row>
    <row r="15" spans="1:17">
      <c r="D15" s="1105" t="s">
        <v>400</v>
      </c>
      <c r="E15" s="1117" t="s">
        <v>1014</v>
      </c>
      <c r="F15" s="1112" t="s">
        <v>318</v>
      </c>
      <c r="G15" s="1121"/>
      <c r="H15" s="1122"/>
      <c r="I15" s="1122"/>
      <c r="J15" s="1122"/>
      <c r="K15" s="1122"/>
      <c r="L15" s="1122"/>
      <c r="M15" s="1122"/>
      <c r="N15" s="1122"/>
      <c r="O15" s="1122"/>
      <c r="P15" s="1123"/>
      <c r="Q15" s="1098"/>
    </row>
    <row r="16" spans="1:17">
      <c r="D16" s="1124" t="s">
        <v>401</v>
      </c>
      <c r="E16" s="1117" t="s">
        <v>1015</v>
      </c>
      <c r="F16" s="1112" t="s">
        <v>318</v>
      </c>
      <c r="G16" s="1121"/>
      <c r="H16" s="1122"/>
      <c r="I16" s="1122"/>
      <c r="J16" s="1122"/>
      <c r="K16" s="1122"/>
      <c r="L16" s="1122"/>
      <c r="M16" s="1122"/>
      <c r="N16" s="1122"/>
      <c r="O16" s="1122"/>
      <c r="P16" s="1123"/>
      <c r="Q16" s="1098"/>
    </row>
    <row r="17" spans="1:22">
      <c r="D17" s="1105" t="s">
        <v>402</v>
      </c>
      <c r="E17" s="1117" t="s">
        <v>1016</v>
      </c>
      <c r="F17" s="1112" t="s">
        <v>318</v>
      </c>
      <c r="G17" s="1121"/>
      <c r="H17" s="1122"/>
      <c r="I17" s="1122"/>
      <c r="J17" s="1122"/>
      <c r="K17" s="1122"/>
      <c r="L17" s="1122"/>
      <c r="M17" s="1122"/>
      <c r="N17" s="1122"/>
      <c r="O17" s="1122"/>
      <c r="P17" s="1123"/>
      <c r="Q17" s="1098"/>
    </row>
    <row r="18" spans="1:22">
      <c r="D18" s="1105" t="s">
        <v>833</v>
      </c>
      <c r="E18" s="1111" t="s">
        <v>394</v>
      </c>
      <c r="F18" s="1112" t="s">
        <v>318</v>
      </c>
      <c r="G18" s="1121"/>
      <c r="H18" s="1122"/>
      <c r="I18" s="1122"/>
      <c r="J18" s="1122"/>
      <c r="K18" s="1122"/>
      <c r="L18" s="1122"/>
      <c r="M18" s="1122"/>
      <c r="N18" s="1122"/>
      <c r="O18" s="1122"/>
      <c r="P18" s="1123"/>
      <c r="Q18" s="1125"/>
      <c r="R18" s="1126"/>
      <c r="S18" s="1126"/>
      <c r="T18" s="1126"/>
      <c r="U18" s="1126"/>
    </row>
    <row r="19" spans="1:22">
      <c r="D19" s="1127"/>
      <c r="E19" s="1128"/>
      <c r="F19" s="1129"/>
      <c r="G19" s="1130"/>
      <c r="H19" s="1131"/>
      <c r="I19" s="1131"/>
      <c r="J19" s="1131"/>
      <c r="K19" s="1131"/>
      <c r="L19" s="1131"/>
      <c r="M19" s="1131"/>
      <c r="N19" s="1131"/>
      <c r="O19" s="1131"/>
      <c r="P19" s="1131"/>
      <c r="Q19" s="1098"/>
    </row>
    <row r="20" spans="1:22">
      <c r="D20" s="1105" t="s">
        <v>407</v>
      </c>
      <c r="E20" s="1132" t="s">
        <v>1017</v>
      </c>
      <c r="F20" s="1107" t="s">
        <v>318</v>
      </c>
      <c r="G20" s="1108">
        <f t="shared" ref="G20:P20" si="2">G29+G51</f>
        <v>0</v>
      </c>
      <c r="H20" s="1109">
        <f t="shared" si="2"/>
        <v>0</v>
      </c>
      <c r="I20" s="1109">
        <f t="shared" si="2"/>
        <v>0</v>
      </c>
      <c r="J20" s="1109">
        <f t="shared" si="2"/>
        <v>0</v>
      </c>
      <c r="K20" s="1109">
        <f t="shared" si="2"/>
        <v>0</v>
      </c>
      <c r="L20" s="1109">
        <f t="shared" si="2"/>
        <v>0</v>
      </c>
      <c r="M20" s="1109">
        <f t="shared" si="2"/>
        <v>0</v>
      </c>
      <c r="N20" s="1109">
        <f t="shared" si="2"/>
        <v>0</v>
      </c>
      <c r="O20" s="1109">
        <f t="shared" si="2"/>
        <v>0</v>
      </c>
      <c r="P20" s="1110">
        <f t="shared" si="2"/>
        <v>0</v>
      </c>
      <c r="Q20" s="1098"/>
    </row>
    <row r="21" spans="1:22" ht="33.75">
      <c r="D21" s="1105" t="s">
        <v>1018</v>
      </c>
      <c r="E21" s="1133" t="s">
        <v>1019</v>
      </c>
      <c r="F21" s="1112" t="s">
        <v>318</v>
      </c>
      <c r="G21" s="1118"/>
      <c r="H21" s="1114">
        <f>(G22-SUMPRODUCT($G$31:$G$43*(List24_2_periods&gt;=$G$7)*(List24_2_periods&lt;$H$7)))*(1-(1/G28))</f>
        <v>0</v>
      </c>
      <c r="I21" s="1114">
        <f>(G22-SUMPRODUCT($G$31:$G$43*(List24_2_periods&gt;=$G$7)*(List24_2_periods&lt;$I$7)))*(1-(2/G28))</f>
        <v>0</v>
      </c>
      <c r="J21" s="1114">
        <f>(G22-SUMPRODUCT($G$31:$G$43*(List24_2_periods&gt;=$G$7)*(List24_2_periods&lt;$J$7)))*(1-(3/G28))</f>
        <v>0</v>
      </c>
      <c r="K21" s="1114">
        <f>(G22-SUMPRODUCT($G$31:$G$43*(List24_2_periods&gt;=$G$7)*(List24_2_periods&lt;$K$7)))*(1-(4/G28))</f>
        <v>0</v>
      </c>
      <c r="L21" s="1114">
        <f>(G22-SUMPRODUCT($G$31:$G$43*(List24_2_periods&gt;=$G$7)*(List24_2_periods&lt;$L$7)))*(1-(5/G28))</f>
        <v>0</v>
      </c>
      <c r="M21" s="1114">
        <f>(G22-SUMPRODUCT($G$31:$G$43*(List24_2_periods&gt;=$G$7)*(List24_2_periods&lt;$M$7)))*(1-(6/G28))</f>
        <v>0</v>
      </c>
      <c r="N21" s="1114">
        <f>(G22-SUMPRODUCT($G$31:$G$43*(List24_2_periods&gt;=$G$7)*(List24_2_periods&lt;$N$7)))*(1-(7/G28))</f>
        <v>0</v>
      </c>
      <c r="O21" s="1114">
        <f>(G22-SUMPRODUCT($G$31:$G$43*(List24_2_periods&gt;=$G$7)*(List24_2_periods&lt;$O$7)))*(1-(8/G28))</f>
        <v>0</v>
      </c>
      <c r="P21" s="1115">
        <f>(G22-SUMPRODUCT($G$31:$G$43*(List24_2_periods&gt;=$G$7)*(List24_2_periods&lt;$P$7)))*(1-(9/G28))</f>
        <v>0</v>
      </c>
      <c r="Q21" s="1098"/>
    </row>
    <row r="22" spans="1:22">
      <c r="D22" s="1105" t="s">
        <v>1020</v>
      </c>
      <c r="E22" s="1117" t="s">
        <v>396</v>
      </c>
      <c r="F22" s="1112" t="s">
        <v>318</v>
      </c>
      <c r="G22" s="1113"/>
      <c r="H22" s="1119"/>
      <c r="I22" s="1119"/>
      <c r="J22" s="1119"/>
      <c r="K22" s="1119"/>
      <c r="L22" s="1119"/>
      <c r="M22" s="1119"/>
      <c r="N22" s="1119"/>
      <c r="O22" s="1119"/>
      <c r="P22" s="1120"/>
      <c r="Q22" s="1098"/>
    </row>
    <row r="23" spans="1:22">
      <c r="D23" s="1105" t="s">
        <v>1021</v>
      </c>
      <c r="E23" s="1117" t="s">
        <v>1022</v>
      </c>
      <c r="F23" s="1112" t="s">
        <v>318</v>
      </c>
      <c r="G23" s="1121"/>
      <c r="H23" s="1114">
        <f t="shared" ref="H23:O23" si="3">G23+G25</f>
        <v>0</v>
      </c>
      <c r="I23" s="1114">
        <f t="shared" si="3"/>
        <v>0</v>
      </c>
      <c r="J23" s="1114">
        <f t="shared" si="3"/>
        <v>0</v>
      </c>
      <c r="K23" s="1114">
        <f t="shared" si="3"/>
        <v>0</v>
      </c>
      <c r="L23" s="1114">
        <f t="shared" si="3"/>
        <v>0</v>
      </c>
      <c r="M23" s="1114">
        <f t="shared" si="3"/>
        <v>0</v>
      </c>
      <c r="N23" s="1114">
        <f t="shared" si="3"/>
        <v>0</v>
      </c>
      <c r="O23" s="1114">
        <f t="shared" si="3"/>
        <v>0</v>
      </c>
      <c r="P23" s="1115">
        <f>O23+O25</f>
        <v>0</v>
      </c>
      <c r="Q23" s="1098"/>
    </row>
    <row r="24" spans="1:22">
      <c r="D24" s="1105" t="s">
        <v>1023</v>
      </c>
      <c r="E24" s="1134" t="s">
        <v>1024</v>
      </c>
      <c r="F24" s="1112" t="s">
        <v>318</v>
      </c>
      <c r="G24" s="1121"/>
      <c r="H24" s="1122"/>
      <c r="I24" s="1122"/>
      <c r="J24" s="1122"/>
      <c r="K24" s="1122"/>
      <c r="L24" s="1122"/>
      <c r="M24" s="1122"/>
      <c r="N24" s="1122"/>
      <c r="O24" s="1122"/>
      <c r="P24" s="1123"/>
      <c r="Q24" s="1098"/>
    </row>
    <row r="25" spans="1:22">
      <c r="D25" s="1105" t="s">
        <v>1025</v>
      </c>
      <c r="E25" s="1135" t="s">
        <v>1026</v>
      </c>
      <c r="F25" s="1112" t="s">
        <v>318</v>
      </c>
      <c r="G25" s="1121"/>
      <c r="H25" s="1122"/>
      <c r="I25" s="1122"/>
      <c r="J25" s="1122"/>
      <c r="K25" s="1122"/>
      <c r="L25" s="1122"/>
      <c r="M25" s="1122"/>
      <c r="N25" s="1122"/>
      <c r="O25" s="1122"/>
      <c r="P25" s="1123"/>
      <c r="Q25" s="1098"/>
    </row>
    <row r="26" spans="1:22">
      <c r="D26" s="1105" t="s">
        <v>1027</v>
      </c>
      <c r="E26" s="1135" t="s">
        <v>397</v>
      </c>
      <c r="F26" s="1136" t="s">
        <v>268</v>
      </c>
      <c r="G26" s="1137">
        <v>0.5167155209170684</v>
      </c>
      <c r="H26" s="1119"/>
      <c r="I26" s="1119"/>
      <c r="J26" s="1119"/>
      <c r="K26" s="1119"/>
      <c r="L26" s="1119"/>
      <c r="M26" s="1119"/>
      <c r="N26" s="1119"/>
      <c r="O26" s="1119"/>
      <c r="P26" s="1120"/>
      <c r="Q26" s="1098"/>
    </row>
    <row r="27" spans="1:22">
      <c r="D27" s="1105" t="s">
        <v>1028</v>
      </c>
      <c r="E27" s="1135" t="s">
        <v>388</v>
      </c>
      <c r="F27" s="1112" t="s">
        <v>389</v>
      </c>
      <c r="G27" s="1138">
        <f>35</f>
        <v>35</v>
      </c>
      <c r="H27" s="1119"/>
      <c r="I27" s="1119"/>
      <c r="J27" s="1119"/>
      <c r="K27" s="1119"/>
      <c r="L27" s="1119"/>
      <c r="M27" s="1119"/>
      <c r="N27" s="1119"/>
      <c r="O27" s="1119"/>
      <c r="P27" s="1120"/>
      <c r="Q27" s="1098"/>
    </row>
    <row r="28" spans="1:22">
      <c r="D28" s="1105" t="s">
        <v>1029</v>
      </c>
      <c r="E28" s="1135" t="s">
        <v>1030</v>
      </c>
      <c r="F28" s="1112" t="s">
        <v>389</v>
      </c>
      <c r="G28" s="1139">
        <f>G27*(1-G26)</f>
        <v>16.914956767902606</v>
      </c>
      <c r="H28" s="1119"/>
      <c r="I28" s="1119"/>
      <c r="J28" s="1119"/>
      <c r="K28" s="1119"/>
      <c r="L28" s="1119"/>
      <c r="M28" s="1119"/>
      <c r="N28" s="1119"/>
      <c r="O28" s="1119"/>
      <c r="P28" s="1120"/>
      <c r="Q28" s="1098"/>
    </row>
    <row r="29" spans="1:22">
      <c r="D29" s="1105" t="s">
        <v>1001</v>
      </c>
      <c r="E29" s="1106" t="s">
        <v>1031</v>
      </c>
      <c r="F29" s="1107" t="s">
        <v>318</v>
      </c>
      <c r="G29" s="1108">
        <f t="shared" ref="G29:P29" si="4">G30+G44</f>
        <v>0</v>
      </c>
      <c r="H29" s="1109">
        <f t="shared" si="4"/>
        <v>0</v>
      </c>
      <c r="I29" s="1109">
        <f t="shared" si="4"/>
        <v>0</v>
      </c>
      <c r="J29" s="1109">
        <f t="shared" si="4"/>
        <v>0</v>
      </c>
      <c r="K29" s="1109">
        <f t="shared" si="4"/>
        <v>0</v>
      </c>
      <c r="L29" s="1109">
        <f t="shared" si="4"/>
        <v>0</v>
      </c>
      <c r="M29" s="1109">
        <f t="shared" si="4"/>
        <v>0</v>
      </c>
      <c r="N29" s="1109">
        <f t="shared" si="4"/>
        <v>0</v>
      </c>
      <c r="O29" s="1109">
        <f t="shared" si="4"/>
        <v>0</v>
      </c>
      <c r="P29" s="1140">
        <f t="shared" si="4"/>
        <v>0</v>
      </c>
      <c r="Q29" s="1098"/>
    </row>
    <row r="30" spans="1:22">
      <c r="D30" s="1105" t="s">
        <v>1032</v>
      </c>
      <c r="E30" s="1141" t="s">
        <v>1033</v>
      </c>
      <c r="F30" s="1112" t="s">
        <v>318</v>
      </c>
      <c r="G30" s="1113">
        <f>G22/G28</f>
        <v>0</v>
      </c>
      <c r="H30" s="1114">
        <f>H21/(G28-1)</f>
        <v>0</v>
      </c>
      <c r="I30" s="1114">
        <f>I21/(G28-2)</f>
        <v>0</v>
      </c>
      <c r="J30" s="1114">
        <f>J21/(G28-3)</f>
        <v>0</v>
      </c>
      <c r="K30" s="1114">
        <f>K21/(G28-4)</f>
        <v>0</v>
      </c>
      <c r="L30" s="1114">
        <f>L21/(G28-5)</f>
        <v>0</v>
      </c>
      <c r="M30" s="1114">
        <f>M21/(G28-6)</f>
        <v>0</v>
      </c>
      <c r="N30" s="1114">
        <f>N21/(G28-7)</f>
        <v>0</v>
      </c>
      <c r="O30" s="1114">
        <f>O21/(G28-8)</f>
        <v>0</v>
      </c>
      <c r="P30" s="1115">
        <f>P21/(G28-9)</f>
        <v>0</v>
      </c>
      <c r="Q30" s="1125"/>
      <c r="R30" s="1126"/>
      <c r="S30" s="1126"/>
      <c r="T30" s="1126"/>
      <c r="U30" s="1126"/>
      <c r="V30" s="1126"/>
    </row>
    <row r="31" spans="1:22" hidden="1">
      <c r="A31" s="1126"/>
      <c r="D31" s="1142"/>
      <c r="E31" s="1143"/>
      <c r="F31" s="1112"/>
      <c r="G31" s="1144"/>
      <c r="H31" s="1145"/>
      <c r="I31" s="1145"/>
      <c r="J31" s="1145"/>
      <c r="K31" s="1145"/>
      <c r="L31" s="1145"/>
      <c r="M31" s="1145"/>
      <c r="N31" s="1145"/>
      <c r="O31" s="1145"/>
      <c r="P31" s="1146"/>
      <c r="Q31" s="1125"/>
      <c r="R31" s="1147"/>
      <c r="S31" s="1126"/>
      <c r="T31" s="1126"/>
      <c r="U31" s="1126"/>
      <c r="V31" s="1126"/>
    </row>
    <row r="32" spans="1:22">
      <c r="A32" s="1092">
        <v>2014</v>
      </c>
      <c r="B32" s="1092">
        <v>2024</v>
      </c>
      <c r="D32" s="1148" t="str">
        <f t="shared" ref="D32:D42" si="5">"11.1." &amp; ROW()-31</f>
        <v>11.1.1</v>
      </c>
      <c r="E32" s="1143" t="str">
        <f t="shared" ref="E32:E42" si="6">"выбытие объектов год "&amp;$A32</f>
        <v>выбытие объектов год 2014</v>
      </c>
      <c r="F32" s="1112" t="s">
        <v>318</v>
      </c>
      <c r="G32" s="1149"/>
      <c r="H32" s="1119"/>
      <c r="I32" s="1119"/>
      <c r="J32" s="1119"/>
      <c r="K32" s="1119"/>
      <c r="L32" s="1119"/>
      <c r="M32" s="1119"/>
      <c r="N32" s="1119"/>
      <c r="O32" s="1119"/>
      <c r="P32" s="1120"/>
      <c r="Q32" s="1125"/>
      <c r="R32" s="1147"/>
      <c r="S32" s="1126"/>
      <c r="T32" s="1126"/>
      <c r="U32" s="1126"/>
      <c r="V32" s="1126"/>
    </row>
    <row r="33" spans="1:26">
      <c r="A33" s="1092">
        <f t="shared" ref="A33:A42" si="7">A32+1</f>
        <v>2015</v>
      </c>
      <c r="D33" s="1148" t="str">
        <f t="shared" si="5"/>
        <v>11.1.2</v>
      </c>
      <c r="E33" s="1143" t="str">
        <f t="shared" si="6"/>
        <v>выбытие объектов год 2015</v>
      </c>
      <c r="F33" s="1112" t="s">
        <v>318</v>
      </c>
      <c r="G33" s="1149"/>
      <c r="H33" s="1119"/>
      <c r="I33" s="1119"/>
      <c r="J33" s="1119"/>
      <c r="K33" s="1119"/>
      <c r="L33" s="1119"/>
      <c r="M33" s="1119"/>
      <c r="N33" s="1119"/>
      <c r="O33" s="1119"/>
      <c r="P33" s="1120"/>
      <c r="Q33" s="1125"/>
      <c r="R33" s="1147"/>
      <c r="S33" s="1126"/>
      <c r="T33" s="1126"/>
      <c r="U33" s="1126"/>
      <c r="V33" s="1126"/>
    </row>
    <row r="34" spans="1:26">
      <c r="A34" s="1092">
        <f t="shared" si="7"/>
        <v>2016</v>
      </c>
      <c r="D34" s="1148" t="str">
        <f t="shared" si="5"/>
        <v>11.1.3</v>
      </c>
      <c r="E34" s="1143" t="str">
        <f t="shared" si="6"/>
        <v>выбытие объектов год 2016</v>
      </c>
      <c r="F34" s="1112" t="s">
        <v>318</v>
      </c>
      <c r="G34" s="1149"/>
      <c r="H34" s="1119"/>
      <c r="I34" s="1119"/>
      <c r="J34" s="1119"/>
      <c r="K34" s="1119"/>
      <c r="L34" s="1119"/>
      <c r="M34" s="1119"/>
      <c r="N34" s="1119"/>
      <c r="O34" s="1119"/>
      <c r="P34" s="1120"/>
      <c r="Q34" s="1125"/>
      <c r="R34" s="1147"/>
      <c r="S34" s="1126"/>
      <c r="T34" s="1126"/>
      <c r="U34" s="1126"/>
      <c r="V34" s="1126"/>
    </row>
    <row r="35" spans="1:26">
      <c r="A35" s="1092">
        <f t="shared" si="7"/>
        <v>2017</v>
      </c>
      <c r="D35" s="1148" t="str">
        <f t="shared" si="5"/>
        <v>11.1.4</v>
      </c>
      <c r="E35" s="1143" t="str">
        <f t="shared" si="6"/>
        <v>выбытие объектов год 2017</v>
      </c>
      <c r="F35" s="1112" t="s">
        <v>318</v>
      </c>
      <c r="G35" s="1149"/>
      <c r="H35" s="1119"/>
      <c r="I35" s="1119"/>
      <c r="J35" s="1119"/>
      <c r="K35" s="1119"/>
      <c r="L35" s="1119"/>
      <c r="M35" s="1119"/>
      <c r="N35" s="1119"/>
      <c r="O35" s="1119"/>
      <c r="P35" s="1120"/>
      <c r="Q35" s="1125"/>
      <c r="R35" s="1147"/>
      <c r="S35" s="1126"/>
      <c r="T35" s="1126"/>
      <c r="U35" s="1126"/>
      <c r="V35" s="1126"/>
    </row>
    <row r="36" spans="1:26">
      <c r="A36" s="1092">
        <f t="shared" si="7"/>
        <v>2018</v>
      </c>
      <c r="D36" s="1148" t="str">
        <f t="shared" si="5"/>
        <v>11.1.5</v>
      </c>
      <c r="E36" s="1143" t="str">
        <f t="shared" si="6"/>
        <v>выбытие объектов год 2018</v>
      </c>
      <c r="F36" s="1112" t="s">
        <v>318</v>
      </c>
      <c r="G36" s="1149"/>
      <c r="H36" s="1119"/>
      <c r="I36" s="1119"/>
      <c r="J36" s="1119"/>
      <c r="K36" s="1119"/>
      <c r="L36" s="1119"/>
      <c r="M36" s="1119"/>
      <c r="N36" s="1119"/>
      <c r="O36" s="1119"/>
      <c r="P36" s="1120"/>
      <c r="Q36" s="1125"/>
      <c r="R36" s="1147"/>
      <c r="S36" s="1126"/>
      <c r="T36" s="1126"/>
      <c r="U36" s="1126"/>
      <c r="V36" s="1126"/>
    </row>
    <row r="37" spans="1:26">
      <c r="A37" s="1092">
        <f t="shared" si="7"/>
        <v>2019</v>
      </c>
      <c r="D37" s="1148" t="str">
        <f t="shared" si="5"/>
        <v>11.1.6</v>
      </c>
      <c r="E37" s="1143" t="str">
        <f t="shared" si="6"/>
        <v>выбытие объектов год 2019</v>
      </c>
      <c r="F37" s="1112" t="s">
        <v>318</v>
      </c>
      <c r="G37" s="1149"/>
      <c r="H37" s="1119"/>
      <c r="I37" s="1119"/>
      <c r="J37" s="1119"/>
      <c r="K37" s="1119"/>
      <c r="L37" s="1119"/>
      <c r="M37" s="1119"/>
      <c r="N37" s="1119"/>
      <c r="O37" s="1119"/>
      <c r="P37" s="1120"/>
      <c r="Q37" s="1125"/>
      <c r="R37" s="1147"/>
      <c r="S37" s="1126"/>
      <c r="T37" s="1126"/>
      <c r="U37" s="1126"/>
      <c r="V37" s="1126"/>
    </row>
    <row r="38" spans="1:26">
      <c r="A38" s="1092">
        <f t="shared" si="7"/>
        <v>2020</v>
      </c>
      <c r="D38" s="1148" t="str">
        <f t="shared" si="5"/>
        <v>11.1.7</v>
      </c>
      <c r="E38" s="1143" t="str">
        <f t="shared" si="6"/>
        <v>выбытие объектов год 2020</v>
      </c>
      <c r="F38" s="1112" t="s">
        <v>318</v>
      </c>
      <c r="G38" s="1149"/>
      <c r="H38" s="1119"/>
      <c r="I38" s="1119"/>
      <c r="J38" s="1119"/>
      <c r="K38" s="1119"/>
      <c r="L38" s="1119"/>
      <c r="M38" s="1119"/>
      <c r="N38" s="1119"/>
      <c r="O38" s="1119"/>
      <c r="P38" s="1120"/>
      <c r="Q38" s="1125"/>
      <c r="R38" s="1147"/>
      <c r="S38" s="1126"/>
      <c r="T38" s="1126"/>
      <c r="U38" s="1126"/>
      <c r="V38" s="1126"/>
    </row>
    <row r="39" spans="1:26">
      <c r="A39" s="1092">
        <f t="shared" si="7"/>
        <v>2021</v>
      </c>
      <c r="D39" s="1148" t="str">
        <f t="shared" si="5"/>
        <v>11.1.8</v>
      </c>
      <c r="E39" s="1143" t="str">
        <f t="shared" si="6"/>
        <v>выбытие объектов год 2021</v>
      </c>
      <c r="F39" s="1112" t="s">
        <v>318</v>
      </c>
      <c r="G39" s="1149"/>
      <c r="H39" s="1119"/>
      <c r="I39" s="1119"/>
      <c r="J39" s="1119"/>
      <c r="K39" s="1119"/>
      <c r="L39" s="1119"/>
      <c r="M39" s="1119"/>
      <c r="N39" s="1119"/>
      <c r="O39" s="1119"/>
      <c r="P39" s="1120"/>
      <c r="Q39" s="1125"/>
      <c r="R39" s="1147"/>
      <c r="S39" s="1126"/>
      <c r="T39" s="1126"/>
      <c r="U39" s="1126"/>
      <c r="V39" s="1126"/>
    </row>
    <row r="40" spans="1:26">
      <c r="A40" s="1092">
        <f t="shared" si="7"/>
        <v>2022</v>
      </c>
      <c r="D40" s="1148" t="str">
        <f t="shared" si="5"/>
        <v>11.1.9</v>
      </c>
      <c r="E40" s="1143" t="str">
        <f t="shared" si="6"/>
        <v>выбытие объектов год 2022</v>
      </c>
      <c r="F40" s="1112" t="s">
        <v>318</v>
      </c>
      <c r="G40" s="1149"/>
      <c r="H40" s="1119"/>
      <c r="I40" s="1119"/>
      <c r="J40" s="1119"/>
      <c r="K40" s="1119"/>
      <c r="L40" s="1119"/>
      <c r="M40" s="1119"/>
      <c r="N40" s="1119"/>
      <c r="O40" s="1119"/>
      <c r="P40" s="1120"/>
      <c r="Q40" s="1125"/>
      <c r="R40" s="1147"/>
      <c r="S40" s="1126"/>
      <c r="T40" s="1126"/>
      <c r="U40" s="1126"/>
      <c r="V40" s="1126"/>
    </row>
    <row r="41" spans="1:26">
      <c r="A41" s="1092">
        <f t="shared" si="7"/>
        <v>2023</v>
      </c>
      <c r="D41" s="1148" t="str">
        <f t="shared" si="5"/>
        <v>11.1.10</v>
      </c>
      <c r="E41" s="1143" t="str">
        <f t="shared" si="6"/>
        <v>выбытие объектов год 2023</v>
      </c>
      <c r="F41" s="1112" t="s">
        <v>318</v>
      </c>
      <c r="G41" s="1149"/>
      <c r="H41" s="1119"/>
      <c r="I41" s="1119"/>
      <c r="J41" s="1119"/>
      <c r="K41" s="1119"/>
      <c r="L41" s="1119"/>
      <c r="M41" s="1119"/>
      <c r="N41" s="1119"/>
      <c r="O41" s="1119"/>
      <c r="P41" s="1120"/>
      <c r="Q41" s="1125"/>
      <c r="R41" s="1147"/>
      <c r="S41" s="1126"/>
      <c r="T41" s="1126"/>
      <c r="U41" s="1126"/>
      <c r="V41" s="1126"/>
    </row>
    <row r="42" spans="1:26">
      <c r="A42" s="1092">
        <f t="shared" si="7"/>
        <v>2024</v>
      </c>
      <c r="D42" s="1148" t="str">
        <f t="shared" si="5"/>
        <v>11.1.11</v>
      </c>
      <c r="E42" s="1143" t="str">
        <f t="shared" si="6"/>
        <v>выбытие объектов год 2024</v>
      </c>
      <c r="F42" s="1112" t="s">
        <v>318</v>
      </c>
      <c r="G42" s="1149"/>
      <c r="H42" s="1119"/>
      <c r="I42" s="1119"/>
      <c r="J42" s="1119"/>
      <c r="K42" s="1119"/>
      <c r="L42" s="1119"/>
      <c r="M42" s="1119"/>
      <c r="N42" s="1119"/>
      <c r="O42" s="1119"/>
      <c r="P42" s="1120"/>
      <c r="Q42" s="1125"/>
      <c r="R42" s="1147"/>
      <c r="S42" s="1126"/>
      <c r="T42" s="1126"/>
      <c r="U42" s="1126"/>
      <c r="V42" s="1126"/>
    </row>
    <row r="43" spans="1:26" hidden="1">
      <c r="D43" s="1150"/>
      <c r="E43" s="1151"/>
      <c r="F43" s="1152"/>
      <c r="G43" s="1153"/>
      <c r="H43" s="1154"/>
      <c r="I43" s="1154"/>
      <c r="J43" s="1154"/>
      <c r="K43" s="1154"/>
      <c r="L43" s="1154"/>
      <c r="M43" s="1154"/>
      <c r="N43" s="1154"/>
      <c r="O43" s="1154"/>
      <c r="P43" s="1155"/>
      <c r="Q43" s="1098"/>
    </row>
    <row r="44" spans="1:26">
      <c r="D44" s="1105" t="s">
        <v>1034</v>
      </c>
      <c r="E44" s="1156" t="s">
        <v>1035</v>
      </c>
      <c r="F44" s="1100" t="s">
        <v>318</v>
      </c>
      <c r="G44" s="1118"/>
      <c r="H44" s="1114">
        <f>H23/G27</f>
        <v>0</v>
      </c>
      <c r="I44" s="1114">
        <f>I23/G27</f>
        <v>0</v>
      </c>
      <c r="J44" s="1114">
        <f>J23/G27</f>
        <v>0</v>
      </c>
      <c r="K44" s="1114">
        <f>K23/G27</f>
        <v>0</v>
      </c>
      <c r="L44" s="1114">
        <f>L23/G27</f>
        <v>0</v>
      </c>
      <c r="M44" s="1114">
        <f>M23/G27</f>
        <v>0</v>
      </c>
      <c r="N44" s="1114">
        <f>N23/G27</f>
        <v>0</v>
      </c>
      <c r="O44" s="1114">
        <f>O23/G27</f>
        <v>0</v>
      </c>
      <c r="P44" s="1115">
        <f>P23/G27</f>
        <v>0</v>
      </c>
      <c r="Q44" s="1125"/>
      <c r="R44" s="1126"/>
      <c r="S44" s="1126"/>
      <c r="T44" s="1126"/>
      <c r="U44" s="1126"/>
      <c r="V44" s="1126"/>
    </row>
    <row r="45" spans="1:26">
      <c r="D45" s="1105" t="s">
        <v>1003</v>
      </c>
      <c r="E45" s="1157" t="s">
        <v>1036</v>
      </c>
      <c r="F45" s="1158"/>
      <c r="G45" s="1118"/>
      <c r="H45" s="1119"/>
      <c r="I45" s="1119"/>
      <c r="J45" s="1119"/>
      <c r="K45" s="1119"/>
      <c r="L45" s="1119"/>
      <c r="M45" s="1119"/>
      <c r="N45" s="1119"/>
      <c r="O45" s="1119"/>
      <c r="P45" s="1120"/>
      <c r="Q45" s="1098"/>
      <c r="R45" s="1159"/>
      <c r="S45" s="1160"/>
      <c r="T45" s="1160"/>
      <c r="U45" s="1126"/>
      <c r="V45" s="1126"/>
    </row>
    <row r="46" spans="1:26">
      <c r="D46" s="1105" t="s">
        <v>1037</v>
      </c>
      <c r="E46" s="1161" t="s">
        <v>1038</v>
      </c>
      <c r="F46" s="1100" t="s">
        <v>318</v>
      </c>
      <c r="G46" s="1121">
        <v>0</v>
      </c>
      <c r="H46" s="1114">
        <f>H23-G23+G46-SUM(G44:G44)</f>
        <v>0</v>
      </c>
      <c r="I46" s="1114">
        <f>I23-G23+G46-SUM(G44:H44)</f>
        <v>0</v>
      </c>
      <c r="J46" s="1114">
        <f>J23-G23+G46-SUM(G44:I44)</f>
        <v>0</v>
      </c>
      <c r="K46" s="1114">
        <f>K23-G23+G46-SUM(G44:J44)</f>
        <v>0</v>
      </c>
      <c r="L46" s="1114">
        <f>L23-G23+G46-SUM(G44:K44)</f>
        <v>0</v>
      </c>
      <c r="M46" s="1114">
        <f>M23-G23+G46-SUM(G44:L44)</f>
        <v>0</v>
      </c>
      <c r="N46" s="1114">
        <f>N23-G23+G46-SUM(G44:M44)</f>
        <v>0</v>
      </c>
      <c r="O46" s="1114">
        <f>O23-G23+G46-SUM(G44:N44)</f>
        <v>0</v>
      </c>
      <c r="P46" s="1115">
        <f>P23-G23+G46-SUM(G44:O44)</f>
        <v>0</v>
      </c>
      <c r="Q46" s="1098"/>
      <c r="R46" s="1160"/>
      <c r="S46" s="1160"/>
      <c r="T46" s="1160"/>
      <c r="U46" s="1126"/>
      <c r="V46" s="1126"/>
    </row>
    <row r="47" spans="1:26">
      <c r="D47" s="1105" t="s">
        <v>1039</v>
      </c>
      <c r="E47" s="1162" t="s">
        <v>1040</v>
      </c>
      <c r="F47" s="1100" t="s">
        <v>318</v>
      </c>
      <c r="G47" s="1163"/>
      <c r="H47" s="1164"/>
      <c r="I47" s="1164"/>
      <c r="J47" s="1164"/>
      <c r="K47" s="1164"/>
      <c r="L47" s="1164"/>
      <c r="M47" s="1164"/>
      <c r="N47" s="1164"/>
      <c r="O47" s="1164"/>
      <c r="P47" s="1165"/>
      <c r="Q47" s="1098"/>
      <c r="R47" s="1160"/>
      <c r="S47" s="1160"/>
      <c r="T47" s="1160"/>
      <c r="U47" s="1126"/>
      <c r="V47" s="1126"/>
      <c r="W47" s="1126"/>
      <c r="X47" s="1126"/>
      <c r="Y47" s="1126"/>
      <c r="Z47" s="1126"/>
    </row>
    <row r="48" spans="1:26">
      <c r="D48" s="1105" t="s">
        <v>1041</v>
      </c>
      <c r="E48" s="1156" t="s">
        <v>1042</v>
      </c>
      <c r="F48" s="1100" t="s">
        <v>268</v>
      </c>
      <c r="G48" s="1166"/>
      <c r="H48" s="1167"/>
      <c r="I48" s="1167"/>
      <c r="J48" s="1167"/>
      <c r="K48" s="1167"/>
      <c r="L48" s="1167"/>
      <c r="M48" s="1167"/>
      <c r="N48" s="1167"/>
      <c r="O48" s="1167"/>
      <c r="P48" s="1168">
        <v>0.11</v>
      </c>
      <c r="Q48" s="1098"/>
      <c r="R48" s="1169"/>
      <c r="S48" s="1160"/>
      <c r="T48" s="1160"/>
      <c r="U48" s="1170"/>
      <c r="V48" s="1170"/>
      <c r="W48" s="1170"/>
      <c r="X48" s="1170"/>
      <c r="Y48" s="1170"/>
      <c r="Z48" s="1126"/>
    </row>
    <row r="49" spans="4:26">
      <c r="D49" s="1105" t="s">
        <v>1043</v>
      </c>
      <c r="E49" s="1161" t="s">
        <v>1044</v>
      </c>
      <c r="F49" s="1100" t="s">
        <v>268</v>
      </c>
      <c r="G49" s="1171"/>
      <c r="H49" s="1167"/>
      <c r="I49" s="1167"/>
      <c r="J49" s="1167"/>
      <c r="K49" s="1167"/>
      <c r="L49" s="1167"/>
      <c r="M49" s="1167"/>
      <c r="N49" s="1167"/>
      <c r="O49" s="1167"/>
      <c r="P49" s="1172"/>
      <c r="Q49" s="1098"/>
      <c r="R49" s="1169"/>
      <c r="S49" s="1160"/>
      <c r="T49" s="1173"/>
      <c r="U49" s="1174"/>
      <c r="V49" s="1174"/>
      <c r="W49" s="1174"/>
      <c r="X49" s="1174"/>
      <c r="Y49" s="1174"/>
      <c r="Z49" s="1126"/>
    </row>
    <row r="50" spans="4:26" hidden="1">
      <c r="D50" s="1105" t="s">
        <v>1045</v>
      </c>
      <c r="E50" s="1175" t="s">
        <v>1046</v>
      </c>
      <c r="F50" s="1100" t="s">
        <v>268</v>
      </c>
      <c r="G50" s="1176"/>
      <c r="H50" s="1177"/>
      <c r="I50" s="1177"/>
      <c r="J50" s="1177"/>
      <c r="K50" s="1177"/>
      <c r="L50" s="1177"/>
      <c r="M50" s="1177"/>
      <c r="N50" s="1177"/>
      <c r="O50" s="1177"/>
      <c r="P50" s="1178"/>
      <c r="Q50" s="1098"/>
      <c r="S50" s="1126"/>
      <c r="T50" s="1126"/>
      <c r="U50" s="1126"/>
      <c r="V50" s="1126"/>
      <c r="W50" s="1126"/>
      <c r="X50" s="1126"/>
      <c r="Y50" s="1126"/>
      <c r="Z50" s="1126"/>
    </row>
    <row r="51" spans="4:26">
      <c r="D51" s="1105" t="s">
        <v>205</v>
      </c>
      <c r="E51" s="1106" t="s">
        <v>1047</v>
      </c>
      <c r="F51" s="1179" t="s">
        <v>318</v>
      </c>
      <c r="G51" s="1108">
        <f t="shared" ref="G51:P51" si="8">G52+G53</f>
        <v>0</v>
      </c>
      <c r="H51" s="1109">
        <f t="shared" si="8"/>
        <v>0</v>
      </c>
      <c r="I51" s="1109">
        <f t="shared" si="8"/>
        <v>0</v>
      </c>
      <c r="J51" s="1109">
        <f t="shared" si="8"/>
        <v>0</v>
      </c>
      <c r="K51" s="1109">
        <f t="shared" si="8"/>
        <v>0</v>
      </c>
      <c r="L51" s="1109">
        <f t="shared" si="8"/>
        <v>0</v>
      </c>
      <c r="M51" s="1109">
        <f t="shared" si="8"/>
        <v>0</v>
      </c>
      <c r="N51" s="1109">
        <f t="shared" si="8"/>
        <v>0</v>
      </c>
      <c r="O51" s="1109">
        <f t="shared" si="8"/>
        <v>0</v>
      </c>
      <c r="P51" s="1110">
        <f t="shared" si="8"/>
        <v>0</v>
      </c>
      <c r="Q51" s="1098"/>
      <c r="S51" s="1126"/>
      <c r="T51" s="1126"/>
      <c r="U51" s="1126"/>
      <c r="V51" s="1126"/>
      <c r="W51" s="1126"/>
      <c r="X51" s="1126"/>
      <c r="Y51" s="1126"/>
      <c r="Z51" s="1126"/>
    </row>
    <row r="52" spans="4:26">
      <c r="D52" s="1105" t="s">
        <v>1048</v>
      </c>
      <c r="E52" s="1156" t="s">
        <v>1049</v>
      </c>
      <c r="F52" s="1100" t="s">
        <v>318</v>
      </c>
      <c r="G52" s="1121"/>
      <c r="H52" s="1114">
        <f t="shared" ref="H52:P52" si="9">H21*H48</f>
        <v>0</v>
      </c>
      <c r="I52" s="1114">
        <f t="shared" si="9"/>
        <v>0</v>
      </c>
      <c r="J52" s="1114">
        <f t="shared" si="9"/>
        <v>0</v>
      </c>
      <c r="K52" s="1114">
        <f t="shared" si="9"/>
        <v>0</v>
      </c>
      <c r="L52" s="1114">
        <f t="shared" si="9"/>
        <v>0</v>
      </c>
      <c r="M52" s="1114">
        <f t="shared" si="9"/>
        <v>0</v>
      </c>
      <c r="N52" s="1114">
        <f t="shared" si="9"/>
        <v>0</v>
      </c>
      <c r="O52" s="1114">
        <f t="shared" si="9"/>
        <v>0</v>
      </c>
      <c r="P52" s="1115">
        <f t="shared" si="9"/>
        <v>0</v>
      </c>
      <c r="Q52" s="1098"/>
    </row>
    <row r="53" spans="4:26">
      <c r="D53" s="1105" t="s">
        <v>1050</v>
      </c>
      <c r="E53" s="1161" t="s">
        <v>1051</v>
      </c>
      <c r="F53" s="1100" t="s">
        <v>318</v>
      </c>
      <c r="G53" s="1113">
        <f t="shared" ref="G53:P53" si="10">(G47+G46)*G49</f>
        <v>0</v>
      </c>
      <c r="H53" s="1114">
        <f t="shared" si="10"/>
        <v>0</v>
      </c>
      <c r="I53" s="1114">
        <f t="shared" si="10"/>
        <v>0</v>
      </c>
      <c r="J53" s="1114">
        <f t="shared" si="10"/>
        <v>0</v>
      </c>
      <c r="K53" s="1114">
        <f t="shared" si="10"/>
        <v>0</v>
      </c>
      <c r="L53" s="1114">
        <f t="shared" si="10"/>
        <v>0</v>
      </c>
      <c r="M53" s="1114">
        <f t="shared" si="10"/>
        <v>0</v>
      </c>
      <c r="N53" s="1114">
        <f t="shared" si="10"/>
        <v>0</v>
      </c>
      <c r="O53" s="1114">
        <f t="shared" si="10"/>
        <v>0</v>
      </c>
      <c r="P53" s="1115">
        <f t="shared" si="10"/>
        <v>0</v>
      </c>
      <c r="Q53" s="1098"/>
    </row>
    <row r="54" spans="4:26">
      <c r="E54" s="1128"/>
      <c r="F54" s="1129"/>
      <c r="G54" s="1180"/>
      <c r="H54" s="1181"/>
      <c r="I54" s="1181"/>
      <c r="J54" s="1181"/>
      <c r="K54" s="1181"/>
      <c r="L54" s="1181"/>
      <c r="M54" s="1181"/>
      <c r="N54" s="1181"/>
      <c r="O54" s="1181"/>
      <c r="P54" s="1181"/>
      <c r="Q54" s="1098"/>
    </row>
    <row r="55" spans="4:26">
      <c r="E55" s="1182" t="s">
        <v>1052</v>
      </c>
      <c r="F55" s="1183"/>
      <c r="G55" s="1184"/>
      <c r="H55" s="1185"/>
      <c r="I55" s="1185"/>
      <c r="J55" s="1185"/>
      <c r="K55" s="1185"/>
      <c r="L55" s="1185"/>
      <c r="M55" s="1185"/>
      <c r="N55" s="1185"/>
      <c r="O55" s="1185"/>
      <c r="P55" s="1185"/>
      <c r="Q55" s="1098"/>
    </row>
    <row r="56" spans="4:26">
      <c r="D56" s="1186"/>
      <c r="E56" s="1187" t="s">
        <v>1053</v>
      </c>
      <c r="F56" s="1188"/>
      <c r="G56" s="1189"/>
      <c r="H56" s="1190"/>
      <c r="I56" s="1190"/>
      <c r="J56" s="1190"/>
      <c r="K56" s="1190"/>
      <c r="L56" s="1190"/>
      <c r="M56" s="1190"/>
      <c r="N56" s="1190"/>
      <c r="O56" s="1190"/>
      <c r="P56" s="1191"/>
      <c r="Q56" s="1098"/>
    </row>
    <row r="57" spans="4:26">
      <c r="D57" s="1105" t="s">
        <v>111</v>
      </c>
      <c r="E57" s="1192" t="s">
        <v>1054</v>
      </c>
      <c r="F57" s="1179" t="s">
        <v>318</v>
      </c>
      <c r="G57" s="1108">
        <f t="shared" ref="G57:P57" si="11">SUM(G58:G61)</f>
        <v>0</v>
      </c>
      <c r="H57" s="1109">
        <f t="shared" si="11"/>
        <v>0</v>
      </c>
      <c r="I57" s="1109">
        <f t="shared" si="11"/>
        <v>0</v>
      </c>
      <c r="J57" s="1109">
        <f t="shared" si="11"/>
        <v>0</v>
      </c>
      <c r="K57" s="1109">
        <f t="shared" si="11"/>
        <v>0</v>
      </c>
      <c r="L57" s="1109">
        <f t="shared" si="11"/>
        <v>0</v>
      </c>
      <c r="M57" s="1109">
        <f t="shared" si="11"/>
        <v>0</v>
      </c>
      <c r="N57" s="1109">
        <f t="shared" si="11"/>
        <v>0</v>
      </c>
      <c r="O57" s="1109">
        <f t="shared" si="11"/>
        <v>0</v>
      </c>
      <c r="P57" s="1110">
        <f t="shared" si="11"/>
        <v>0</v>
      </c>
      <c r="Q57" s="1098"/>
    </row>
    <row r="58" spans="4:26">
      <c r="D58" s="1105" t="s">
        <v>316</v>
      </c>
      <c r="E58" s="1156" t="s">
        <v>1055</v>
      </c>
      <c r="F58" s="1100" t="s">
        <v>318</v>
      </c>
      <c r="G58" s="1121"/>
      <c r="H58" s="1122"/>
      <c r="I58" s="1122"/>
      <c r="J58" s="1122"/>
      <c r="K58" s="1122"/>
      <c r="L58" s="1122"/>
      <c r="M58" s="1122"/>
      <c r="N58" s="1122"/>
      <c r="O58" s="1122"/>
      <c r="P58" s="1123"/>
      <c r="Q58" s="1098"/>
    </row>
    <row r="59" spans="4:26">
      <c r="D59" s="1105" t="s">
        <v>323</v>
      </c>
      <c r="E59" s="1156" t="s">
        <v>1010</v>
      </c>
      <c r="F59" s="1100" t="s">
        <v>318</v>
      </c>
      <c r="G59" s="1113"/>
      <c r="H59" s="1114"/>
      <c r="I59" s="1114"/>
      <c r="J59" s="1114"/>
      <c r="K59" s="1114"/>
      <c r="L59" s="1114"/>
      <c r="M59" s="1114"/>
      <c r="N59" s="1114"/>
      <c r="O59" s="1114"/>
      <c r="P59" s="1115"/>
      <c r="Q59" s="1098"/>
    </row>
    <row r="60" spans="4:26">
      <c r="D60" s="1105" t="s">
        <v>325</v>
      </c>
      <c r="E60" s="1156" t="s">
        <v>1011</v>
      </c>
      <c r="F60" s="1100" t="s">
        <v>318</v>
      </c>
      <c r="G60" s="1113">
        <f t="shared" ref="G60:P60" si="12">G51</f>
        <v>0</v>
      </c>
      <c r="H60" s="1114">
        <f t="shared" si="12"/>
        <v>0</v>
      </c>
      <c r="I60" s="1114">
        <f t="shared" si="12"/>
        <v>0</v>
      </c>
      <c r="J60" s="1114">
        <f t="shared" si="12"/>
        <v>0</v>
      </c>
      <c r="K60" s="1114">
        <f t="shared" si="12"/>
        <v>0</v>
      </c>
      <c r="L60" s="1114">
        <f t="shared" si="12"/>
        <v>0</v>
      </c>
      <c r="M60" s="1114">
        <f t="shared" si="12"/>
        <v>0</v>
      </c>
      <c r="N60" s="1114">
        <f t="shared" si="12"/>
        <v>0</v>
      </c>
      <c r="O60" s="1114">
        <f t="shared" si="12"/>
        <v>0</v>
      </c>
      <c r="P60" s="1115">
        <f t="shared" si="12"/>
        <v>0</v>
      </c>
      <c r="Q60" s="1098"/>
    </row>
    <row r="61" spans="4:26">
      <c r="D61" s="1105" t="s">
        <v>1056</v>
      </c>
      <c r="E61" s="1156" t="s">
        <v>394</v>
      </c>
      <c r="F61" s="1100" t="s">
        <v>318</v>
      </c>
      <c r="G61" s="1113">
        <f t="shared" ref="G61:P61" si="13">G18</f>
        <v>0</v>
      </c>
      <c r="H61" s="1114">
        <f t="shared" si="13"/>
        <v>0</v>
      </c>
      <c r="I61" s="1114">
        <f t="shared" si="13"/>
        <v>0</v>
      </c>
      <c r="J61" s="1114">
        <f t="shared" si="13"/>
        <v>0</v>
      </c>
      <c r="K61" s="1114">
        <f t="shared" si="13"/>
        <v>0</v>
      </c>
      <c r="L61" s="1114">
        <f t="shared" si="13"/>
        <v>0</v>
      </c>
      <c r="M61" s="1114">
        <f t="shared" si="13"/>
        <v>0</v>
      </c>
      <c r="N61" s="1114">
        <f t="shared" si="13"/>
        <v>0</v>
      </c>
      <c r="O61" s="1114">
        <f t="shared" si="13"/>
        <v>0</v>
      </c>
      <c r="P61" s="1115">
        <f t="shared" si="13"/>
        <v>0</v>
      </c>
      <c r="Q61" s="1098"/>
    </row>
    <row r="62" spans="4:26">
      <c r="D62" s="1105" t="s">
        <v>113</v>
      </c>
      <c r="E62" s="1192" t="s">
        <v>1057</v>
      </c>
      <c r="F62" s="1179" t="s">
        <v>318</v>
      </c>
      <c r="G62" s="1108">
        <f t="shared" ref="G62:P62" si="14">G64+G66+G65</f>
        <v>0</v>
      </c>
      <c r="H62" s="1109">
        <f t="shared" si="14"/>
        <v>0</v>
      </c>
      <c r="I62" s="1109">
        <f t="shared" si="14"/>
        <v>0</v>
      </c>
      <c r="J62" s="1109">
        <f t="shared" si="14"/>
        <v>0</v>
      </c>
      <c r="K62" s="1109">
        <f t="shared" si="14"/>
        <v>0</v>
      </c>
      <c r="L62" s="1109">
        <f t="shared" si="14"/>
        <v>0</v>
      </c>
      <c r="M62" s="1109">
        <f t="shared" si="14"/>
        <v>0</v>
      </c>
      <c r="N62" s="1109">
        <f t="shared" si="14"/>
        <v>0</v>
      </c>
      <c r="O62" s="1109">
        <f t="shared" si="14"/>
        <v>0</v>
      </c>
      <c r="P62" s="1110">
        <f t="shared" si="14"/>
        <v>0</v>
      </c>
      <c r="Q62" s="1098"/>
    </row>
    <row r="63" spans="4:26">
      <c r="D63" s="1105" t="s">
        <v>356</v>
      </c>
      <c r="E63" s="1156" t="s">
        <v>1058</v>
      </c>
      <c r="F63" s="1100" t="s">
        <v>318</v>
      </c>
      <c r="G63" s="1113">
        <f t="shared" ref="G63:P63" si="15">G64+G65</f>
        <v>0</v>
      </c>
      <c r="H63" s="1114">
        <f t="shared" si="15"/>
        <v>0</v>
      </c>
      <c r="I63" s="1114">
        <f t="shared" si="15"/>
        <v>0</v>
      </c>
      <c r="J63" s="1114">
        <f t="shared" si="15"/>
        <v>0</v>
      </c>
      <c r="K63" s="1114">
        <f t="shared" si="15"/>
        <v>0</v>
      </c>
      <c r="L63" s="1114">
        <f t="shared" si="15"/>
        <v>0</v>
      </c>
      <c r="M63" s="1114">
        <f t="shared" si="15"/>
        <v>0</v>
      </c>
      <c r="N63" s="1114">
        <f t="shared" si="15"/>
        <v>0</v>
      </c>
      <c r="O63" s="1114">
        <f t="shared" si="15"/>
        <v>0</v>
      </c>
      <c r="P63" s="1115">
        <f t="shared" si="15"/>
        <v>0</v>
      </c>
      <c r="Q63" s="1098"/>
    </row>
    <row r="64" spans="4:26">
      <c r="D64" s="1105" t="s">
        <v>1059</v>
      </c>
      <c r="E64" s="1193" t="s">
        <v>1060</v>
      </c>
      <c r="F64" s="1100" t="s">
        <v>318</v>
      </c>
      <c r="G64" s="1121"/>
      <c r="H64" s="1122"/>
      <c r="I64" s="1122"/>
      <c r="J64" s="1122"/>
      <c r="K64" s="1122"/>
      <c r="L64" s="1122"/>
      <c r="M64" s="1122"/>
      <c r="N64" s="1122"/>
      <c r="O64" s="1122"/>
      <c r="P64" s="1123"/>
      <c r="Q64" s="1098"/>
    </row>
    <row r="65" spans="4:17">
      <c r="D65" s="1105" t="s">
        <v>1061</v>
      </c>
      <c r="E65" s="1194" t="s">
        <v>1062</v>
      </c>
      <c r="F65" s="1100" t="s">
        <v>318</v>
      </c>
      <c r="G65" s="1121"/>
      <c r="H65" s="1122"/>
      <c r="I65" s="1122"/>
      <c r="J65" s="1122"/>
      <c r="K65" s="1122"/>
      <c r="L65" s="1122"/>
      <c r="M65" s="1122"/>
      <c r="N65" s="1122"/>
      <c r="O65" s="1122"/>
      <c r="P65" s="1123"/>
      <c r="Q65" s="1098"/>
    </row>
    <row r="66" spans="4:17">
      <c r="D66" s="1105" t="s">
        <v>818</v>
      </c>
      <c r="E66" s="1195" t="s">
        <v>380</v>
      </c>
      <c r="F66" s="1100" t="s">
        <v>318</v>
      </c>
      <c r="G66" s="1113">
        <f t="shared" ref="G66:P66" si="16">G108</f>
        <v>0</v>
      </c>
      <c r="H66" s="1114">
        <f t="shared" si="16"/>
        <v>0</v>
      </c>
      <c r="I66" s="1114">
        <f t="shared" si="16"/>
        <v>0</v>
      </c>
      <c r="J66" s="1114">
        <f t="shared" si="16"/>
        <v>0</v>
      </c>
      <c r="K66" s="1114">
        <f t="shared" si="16"/>
        <v>0</v>
      </c>
      <c r="L66" s="1114">
        <f t="shared" si="16"/>
        <v>0</v>
      </c>
      <c r="M66" s="1114">
        <f t="shared" si="16"/>
        <v>0</v>
      </c>
      <c r="N66" s="1114">
        <f t="shared" si="16"/>
        <v>0</v>
      </c>
      <c r="O66" s="1114">
        <f t="shared" si="16"/>
        <v>0</v>
      </c>
      <c r="P66" s="1115">
        <f t="shared" si="16"/>
        <v>0</v>
      </c>
      <c r="Q66" s="1098"/>
    </row>
    <row r="67" spans="4:17">
      <c r="D67" s="1105" t="s">
        <v>820</v>
      </c>
      <c r="E67" s="1192" t="s">
        <v>1063</v>
      </c>
      <c r="F67" s="1179" t="s">
        <v>318</v>
      </c>
      <c r="G67" s="1108">
        <f t="shared" ref="G67:P67" si="17">IF((G57-G62)&lt;0,0,(G57-G62)/0.8)</f>
        <v>0</v>
      </c>
      <c r="H67" s="1109">
        <f t="shared" si="17"/>
        <v>0</v>
      </c>
      <c r="I67" s="1109">
        <f t="shared" si="17"/>
        <v>0</v>
      </c>
      <c r="J67" s="1109">
        <f t="shared" si="17"/>
        <v>0</v>
      </c>
      <c r="K67" s="1109">
        <f t="shared" si="17"/>
        <v>0</v>
      </c>
      <c r="L67" s="1109">
        <f t="shared" si="17"/>
        <v>0</v>
      </c>
      <c r="M67" s="1109">
        <f t="shared" si="17"/>
        <v>0</v>
      </c>
      <c r="N67" s="1109">
        <f t="shared" si="17"/>
        <v>0</v>
      </c>
      <c r="O67" s="1109">
        <f t="shared" si="17"/>
        <v>0</v>
      </c>
      <c r="P67" s="1110">
        <f t="shared" si="17"/>
        <v>0</v>
      </c>
      <c r="Q67" s="1098"/>
    </row>
    <row r="68" spans="4:17">
      <c r="D68" s="1105" t="s">
        <v>822</v>
      </c>
      <c r="E68" s="1192" t="s">
        <v>1064</v>
      </c>
      <c r="F68" s="1107" t="s">
        <v>268</v>
      </c>
      <c r="G68" s="1196">
        <v>0.2</v>
      </c>
      <c r="H68" s="1197">
        <v>0.2</v>
      </c>
      <c r="I68" s="1197">
        <v>0.2</v>
      </c>
      <c r="J68" s="1197">
        <v>0.2</v>
      </c>
      <c r="K68" s="1197">
        <v>0.2</v>
      </c>
      <c r="L68" s="1197">
        <v>0.2</v>
      </c>
      <c r="M68" s="1197">
        <v>0.2</v>
      </c>
      <c r="N68" s="1197">
        <v>0.2</v>
      </c>
      <c r="O68" s="1197">
        <v>0.2</v>
      </c>
      <c r="P68" s="1198">
        <v>0.2</v>
      </c>
      <c r="Q68" s="1098"/>
    </row>
    <row r="69" spans="4:17">
      <c r="D69" s="1105" t="s">
        <v>824</v>
      </c>
      <c r="E69" s="1192" t="s">
        <v>371</v>
      </c>
      <c r="F69" s="1179" t="s">
        <v>318</v>
      </c>
      <c r="G69" s="1199"/>
      <c r="H69" s="1200"/>
      <c r="I69" s="1200"/>
      <c r="J69" s="1200"/>
      <c r="K69" s="1200"/>
      <c r="L69" s="1200"/>
      <c r="M69" s="1200"/>
      <c r="N69" s="1200"/>
      <c r="O69" s="1200"/>
      <c r="P69" s="1201"/>
      <c r="Q69" s="1098"/>
    </row>
    <row r="70" spans="4:17">
      <c r="E70" s="1202"/>
      <c r="F70" s="1129"/>
      <c r="G70" s="1130"/>
      <c r="H70" s="1131"/>
      <c r="I70" s="1131"/>
      <c r="J70" s="1131"/>
      <c r="K70" s="1131"/>
      <c r="L70" s="1131"/>
      <c r="M70" s="1131"/>
      <c r="N70" s="1131"/>
      <c r="O70" s="1131"/>
      <c r="P70" s="1131"/>
      <c r="Q70" s="1098"/>
    </row>
    <row r="71" spans="4:17">
      <c r="D71" s="1186"/>
      <c r="E71" s="1187" t="s">
        <v>1065</v>
      </c>
      <c r="F71" s="1188"/>
      <c r="G71" s="1189"/>
      <c r="H71" s="1190"/>
      <c r="I71" s="1190"/>
      <c r="J71" s="1190"/>
      <c r="K71" s="1190"/>
      <c r="L71" s="1190"/>
      <c r="M71" s="1190"/>
      <c r="N71" s="1190"/>
      <c r="O71" s="1190"/>
      <c r="P71" s="1191"/>
      <c r="Q71" s="1098"/>
    </row>
    <row r="72" spans="4:17">
      <c r="D72" s="1105" t="s">
        <v>111</v>
      </c>
      <c r="E72" s="1203" t="s">
        <v>1066</v>
      </c>
      <c r="F72" s="1107" t="s">
        <v>318</v>
      </c>
      <c r="G72" s="1108">
        <f t="shared" ref="G72:P72" si="18">G29+G51</f>
        <v>0</v>
      </c>
      <c r="H72" s="1109">
        <f t="shared" si="18"/>
        <v>0</v>
      </c>
      <c r="I72" s="1109">
        <f t="shared" si="18"/>
        <v>0</v>
      </c>
      <c r="J72" s="1109">
        <f t="shared" si="18"/>
        <v>0</v>
      </c>
      <c r="K72" s="1109">
        <f t="shared" si="18"/>
        <v>0</v>
      </c>
      <c r="L72" s="1109">
        <f t="shared" si="18"/>
        <v>0</v>
      </c>
      <c r="M72" s="1109">
        <f t="shared" si="18"/>
        <v>0</v>
      </c>
      <c r="N72" s="1109">
        <f t="shared" si="18"/>
        <v>0</v>
      </c>
      <c r="O72" s="1109">
        <f t="shared" si="18"/>
        <v>0</v>
      </c>
      <c r="P72" s="1110">
        <f t="shared" si="18"/>
        <v>0</v>
      </c>
      <c r="Q72" s="1098"/>
    </row>
    <row r="73" spans="4:17">
      <c r="D73" s="1105" t="s">
        <v>113</v>
      </c>
      <c r="E73" s="1203" t="s">
        <v>1067</v>
      </c>
      <c r="F73" s="1107" t="s">
        <v>318</v>
      </c>
      <c r="G73" s="1108">
        <f t="shared" ref="G73:P73" si="19">G74+G75+G76</f>
        <v>0</v>
      </c>
      <c r="H73" s="1109">
        <f t="shared" si="19"/>
        <v>0</v>
      </c>
      <c r="I73" s="1109">
        <f t="shared" si="19"/>
        <v>0</v>
      </c>
      <c r="J73" s="1109">
        <f t="shared" si="19"/>
        <v>0</v>
      </c>
      <c r="K73" s="1109">
        <f t="shared" si="19"/>
        <v>0</v>
      </c>
      <c r="L73" s="1109">
        <f t="shared" si="19"/>
        <v>0</v>
      </c>
      <c r="M73" s="1109">
        <f t="shared" si="19"/>
        <v>0</v>
      </c>
      <c r="N73" s="1109">
        <f t="shared" si="19"/>
        <v>0</v>
      </c>
      <c r="O73" s="1109">
        <f t="shared" si="19"/>
        <v>0</v>
      </c>
      <c r="P73" s="1110">
        <f t="shared" si="19"/>
        <v>0</v>
      </c>
      <c r="Q73" s="1098"/>
    </row>
    <row r="74" spans="4:17">
      <c r="D74" s="1105" t="s">
        <v>356</v>
      </c>
      <c r="E74" s="1204" t="s">
        <v>383</v>
      </c>
      <c r="F74" s="1112" t="s">
        <v>318</v>
      </c>
      <c r="G74" s="1121"/>
      <c r="H74" s="1122"/>
      <c r="I74" s="1122"/>
      <c r="J74" s="1122"/>
      <c r="K74" s="1122"/>
      <c r="L74" s="1122"/>
      <c r="M74" s="1122"/>
      <c r="N74" s="1122"/>
      <c r="O74" s="1122"/>
      <c r="P74" s="1123"/>
      <c r="Q74" s="1098"/>
    </row>
    <row r="75" spans="4:17">
      <c r="D75" s="1105" t="s">
        <v>358</v>
      </c>
      <c r="E75" s="1204" t="s">
        <v>382</v>
      </c>
      <c r="F75" s="1112" t="s">
        <v>318</v>
      </c>
      <c r="G75" s="1121"/>
      <c r="H75" s="1122"/>
      <c r="I75" s="1122"/>
      <c r="J75" s="1122"/>
      <c r="K75" s="1122"/>
      <c r="L75" s="1122"/>
      <c r="M75" s="1122"/>
      <c r="N75" s="1122"/>
      <c r="O75" s="1122"/>
      <c r="P75" s="1123"/>
      <c r="Q75" s="1098"/>
    </row>
    <row r="76" spans="4:17">
      <c r="D76" s="1105" t="s">
        <v>360</v>
      </c>
      <c r="E76" s="1204" t="s">
        <v>1068</v>
      </c>
      <c r="F76" s="1112" t="s">
        <v>318</v>
      </c>
      <c r="G76" s="1113">
        <f t="shared" ref="G76:P76" si="20">G108</f>
        <v>0</v>
      </c>
      <c r="H76" s="1114">
        <f t="shared" si="20"/>
        <v>0</v>
      </c>
      <c r="I76" s="1114">
        <f t="shared" si="20"/>
        <v>0</v>
      </c>
      <c r="J76" s="1114">
        <f t="shared" si="20"/>
        <v>0</v>
      </c>
      <c r="K76" s="1114">
        <f t="shared" si="20"/>
        <v>0</v>
      </c>
      <c r="L76" s="1114">
        <f t="shared" si="20"/>
        <v>0</v>
      </c>
      <c r="M76" s="1114">
        <f t="shared" si="20"/>
        <v>0</v>
      </c>
      <c r="N76" s="1114">
        <f t="shared" si="20"/>
        <v>0</v>
      </c>
      <c r="O76" s="1114">
        <f t="shared" si="20"/>
        <v>0</v>
      </c>
      <c r="P76" s="1115">
        <f t="shared" si="20"/>
        <v>0</v>
      </c>
      <c r="Q76" s="1098"/>
    </row>
    <row r="77" spans="4:17">
      <c r="D77" s="1105" t="s">
        <v>818</v>
      </c>
      <c r="E77" s="1205" t="s">
        <v>1069</v>
      </c>
      <c r="F77" s="1107" t="s">
        <v>318</v>
      </c>
      <c r="G77" s="1108">
        <f t="shared" ref="G77:P77" si="21">G72-G73</f>
        <v>0</v>
      </c>
      <c r="H77" s="1109">
        <f t="shared" si="21"/>
        <v>0</v>
      </c>
      <c r="I77" s="1109">
        <f t="shared" si="21"/>
        <v>0</v>
      </c>
      <c r="J77" s="1109">
        <f t="shared" si="21"/>
        <v>0</v>
      </c>
      <c r="K77" s="1109">
        <f t="shared" si="21"/>
        <v>0</v>
      </c>
      <c r="L77" s="1109">
        <f t="shared" si="21"/>
        <v>0</v>
      </c>
      <c r="M77" s="1109">
        <f t="shared" si="21"/>
        <v>0</v>
      </c>
      <c r="N77" s="1109">
        <f t="shared" si="21"/>
        <v>0</v>
      </c>
      <c r="O77" s="1109">
        <f t="shared" si="21"/>
        <v>0</v>
      </c>
      <c r="P77" s="1110">
        <f t="shared" si="21"/>
        <v>0</v>
      </c>
      <c r="Q77" s="1098"/>
    </row>
    <row r="78" spans="4:17">
      <c r="D78" s="1105" t="s">
        <v>820</v>
      </c>
      <c r="E78" s="1206" t="s">
        <v>1070</v>
      </c>
      <c r="F78" s="1112" t="s">
        <v>318</v>
      </c>
      <c r="G78" s="1113">
        <f t="shared" ref="G78:P78" si="22">G64</f>
        <v>0</v>
      </c>
      <c r="H78" s="1114">
        <f t="shared" si="22"/>
        <v>0</v>
      </c>
      <c r="I78" s="1114">
        <f t="shared" si="22"/>
        <v>0</v>
      </c>
      <c r="J78" s="1114">
        <f t="shared" si="22"/>
        <v>0</v>
      </c>
      <c r="K78" s="1114">
        <f t="shared" si="22"/>
        <v>0</v>
      </c>
      <c r="L78" s="1114">
        <f t="shared" si="22"/>
        <v>0</v>
      </c>
      <c r="M78" s="1114">
        <f t="shared" si="22"/>
        <v>0</v>
      </c>
      <c r="N78" s="1114">
        <f t="shared" si="22"/>
        <v>0</v>
      </c>
      <c r="O78" s="1114">
        <f t="shared" si="22"/>
        <v>0</v>
      </c>
      <c r="P78" s="1115">
        <f t="shared" si="22"/>
        <v>0</v>
      </c>
      <c r="Q78" s="1098"/>
    </row>
    <row r="79" spans="4:17">
      <c r="D79" s="1105" t="s">
        <v>822</v>
      </c>
      <c r="E79" s="1111" t="s">
        <v>1071</v>
      </c>
      <c r="F79" s="1112" t="s">
        <v>318</v>
      </c>
      <c r="G79" s="1113">
        <f t="shared" ref="G79:P79" si="23">G18+G13+G14+G15</f>
        <v>0</v>
      </c>
      <c r="H79" s="1114">
        <f t="shared" si="23"/>
        <v>0</v>
      </c>
      <c r="I79" s="1114">
        <f t="shared" si="23"/>
        <v>0</v>
      </c>
      <c r="J79" s="1114">
        <f t="shared" si="23"/>
        <v>0</v>
      </c>
      <c r="K79" s="1114">
        <f t="shared" si="23"/>
        <v>0</v>
      </c>
      <c r="L79" s="1114">
        <f t="shared" si="23"/>
        <v>0</v>
      </c>
      <c r="M79" s="1114">
        <f t="shared" si="23"/>
        <v>0</v>
      </c>
      <c r="N79" s="1114">
        <f t="shared" si="23"/>
        <v>0</v>
      </c>
      <c r="O79" s="1114">
        <f t="shared" si="23"/>
        <v>0</v>
      </c>
      <c r="P79" s="1115">
        <f t="shared" si="23"/>
        <v>0</v>
      </c>
      <c r="Q79" s="1098"/>
    </row>
    <row r="80" spans="4:17">
      <c r="D80" s="1105" t="s">
        <v>824</v>
      </c>
      <c r="E80" s="1192" t="s">
        <v>1072</v>
      </c>
      <c r="F80" s="1107" t="s">
        <v>318</v>
      </c>
      <c r="G80" s="1108">
        <f t="shared" ref="G80:P80" si="24">IF((G77-G78+G79)&lt;0,0,(G77-G78+G79))</f>
        <v>0</v>
      </c>
      <c r="H80" s="1109">
        <f t="shared" si="24"/>
        <v>0</v>
      </c>
      <c r="I80" s="1109">
        <f t="shared" si="24"/>
        <v>0</v>
      </c>
      <c r="J80" s="1109">
        <f t="shared" si="24"/>
        <v>0</v>
      </c>
      <c r="K80" s="1109">
        <f t="shared" si="24"/>
        <v>0</v>
      </c>
      <c r="L80" s="1109">
        <f t="shared" si="24"/>
        <v>0</v>
      </c>
      <c r="M80" s="1109">
        <f t="shared" si="24"/>
        <v>0</v>
      </c>
      <c r="N80" s="1109">
        <f t="shared" si="24"/>
        <v>0</v>
      </c>
      <c r="O80" s="1109">
        <f t="shared" si="24"/>
        <v>0</v>
      </c>
      <c r="P80" s="1110">
        <f t="shared" si="24"/>
        <v>0</v>
      </c>
      <c r="Q80" s="1098"/>
    </row>
    <row r="81" spans="3:17">
      <c r="C81" s="1098"/>
      <c r="D81" s="1098"/>
      <c r="E81" s="1202"/>
      <c r="F81" s="1207"/>
      <c r="G81" s="1208"/>
      <c r="H81" s="1209"/>
      <c r="I81" s="1209"/>
      <c r="J81" s="1209"/>
      <c r="K81" s="1209"/>
      <c r="L81" s="1209"/>
      <c r="M81" s="1209"/>
      <c r="N81" s="1209"/>
      <c r="O81" s="1209"/>
      <c r="P81" s="1209"/>
      <c r="Q81" s="1098"/>
    </row>
    <row r="82" spans="3:17">
      <c r="D82" s="1186"/>
      <c r="E82" s="1210" t="s">
        <v>1073</v>
      </c>
      <c r="F82" s="1188"/>
      <c r="G82" s="1189"/>
      <c r="H82" s="1190"/>
      <c r="I82" s="1190"/>
      <c r="J82" s="1190"/>
      <c r="K82" s="1190"/>
      <c r="L82" s="1190"/>
      <c r="M82" s="1190"/>
      <c r="N82" s="1190"/>
      <c r="O82" s="1190"/>
      <c r="P82" s="1191"/>
      <c r="Q82" s="1098"/>
    </row>
    <row r="83" spans="3:17">
      <c r="D83" s="1105" t="s">
        <v>111</v>
      </c>
      <c r="E83" s="1203" t="s">
        <v>1074</v>
      </c>
      <c r="F83" s="1107" t="s">
        <v>318</v>
      </c>
      <c r="G83" s="1121"/>
      <c r="H83" s="1122"/>
      <c r="I83" s="1122"/>
      <c r="J83" s="1122"/>
      <c r="K83" s="1122"/>
      <c r="L83" s="1122"/>
      <c r="M83" s="1122"/>
      <c r="N83" s="1122"/>
      <c r="O83" s="1122"/>
      <c r="P83" s="1123"/>
      <c r="Q83" s="1098"/>
    </row>
    <row r="84" spans="3:17">
      <c r="D84" s="1105" t="s">
        <v>113</v>
      </c>
      <c r="E84" s="1205" t="s">
        <v>1075</v>
      </c>
      <c r="F84" s="1107" t="s">
        <v>318</v>
      </c>
      <c r="G84" s="1108">
        <f t="shared" ref="G84:P84" si="25">G85+G86</f>
        <v>0</v>
      </c>
      <c r="H84" s="1109">
        <f t="shared" si="25"/>
        <v>0</v>
      </c>
      <c r="I84" s="1109">
        <f t="shared" si="25"/>
        <v>0</v>
      </c>
      <c r="J84" s="1109">
        <f t="shared" si="25"/>
        <v>0</v>
      </c>
      <c r="K84" s="1109">
        <f t="shared" si="25"/>
        <v>0</v>
      </c>
      <c r="L84" s="1109">
        <f t="shared" si="25"/>
        <v>0</v>
      </c>
      <c r="M84" s="1109">
        <f t="shared" si="25"/>
        <v>0</v>
      </c>
      <c r="N84" s="1109">
        <f t="shared" si="25"/>
        <v>0</v>
      </c>
      <c r="O84" s="1109">
        <f t="shared" si="25"/>
        <v>0</v>
      </c>
      <c r="P84" s="1110">
        <f t="shared" si="25"/>
        <v>0</v>
      </c>
      <c r="Q84" s="1098"/>
    </row>
    <row r="85" spans="3:17">
      <c r="D85" s="1105" t="s">
        <v>356</v>
      </c>
      <c r="E85" s="1211" t="s">
        <v>1069</v>
      </c>
      <c r="F85" s="1112" t="s">
        <v>318</v>
      </c>
      <c r="G85" s="1113">
        <f t="shared" ref="G85:P85" si="26">IF((G80+G78)&gt;G83,G83,(G80+G78))</f>
        <v>0</v>
      </c>
      <c r="H85" s="1114">
        <f t="shared" si="26"/>
        <v>0</v>
      </c>
      <c r="I85" s="1114">
        <f t="shared" si="26"/>
        <v>0</v>
      </c>
      <c r="J85" s="1114">
        <f t="shared" si="26"/>
        <v>0</v>
      </c>
      <c r="K85" s="1114">
        <f t="shared" si="26"/>
        <v>0</v>
      </c>
      <c r="L85" s="1114">
        <f t="shared" si="26"/>
        <v>0</v>
      </c>
      <c r="M85" s="1114">
        <f t="shared" si="26"/>
        <v>0</v>
      </c>
      <c r="N85" s="1114">
        <f t="shared" si="26"/>
        <v>0</v>
      </c>
      <c r="O85" s="1114">
        <f t="shared" si="26"/>
        <v>0</v>
      </c>
      <c r="P85" s="1115">
        <f t="shared" si="26"/>
        <v>0</v>
      </c>
      <c r="Q85" s="1098"/>
    </row>
    <row r="86" spans="3:17">
      <c r="D86" s="1105" t="s">
        <v>358</v>
      </c>
      <c r="E86" s="1211" t="s">
        <v>1076</v>
      </c>
      <c r="F86" s="1112" t="s">
        <v>318</v>
      </c>
      <c r="G86" s="1113">
        <f t="shared" ref="G86:P86" si="27">IF((G83-G85)&lt;0,0,(G83-G85))</f>
        <v>0</v>
      </c>
      <c r="H86" s="1114">
        <f t="shared" si="27"/>
        <v>0</v>
      </c>
      <c r="I86" s="1114">
        <f t="shared" si="27"/>
        <v>0</v>
      </c>
      <c r="J86" s="1114">
        <f t="shared" si="27"/>
        <v>0</v>
      </c>
      <c r="K86" s="1114">
        <f t="shared" si="27"/>
        <v>0</v>
      </c>
      <c r="L86" s="1114">
        <f t="shared" si="27"/>
        <v>0</v>
      </c>
      <c r="M86" s="1114">
        <f t="shared" si="27"/>
        <v>0</v>
      </c>
      <c r="N86" s="1114">
        <f t="shared" si="27"/>
        <v>0</v>
      </c>
      <c r="O86" s="1114">
        <f t="shared" si="27"/>
        <v>0</v>
      </c>
      <c r="P86" s="1115">
        <f t="shared" si="27"/>
        <v>0</v>
      </c>
      <c r="Q86" s="1098"/>
    </row>
    <row r="87" spans="3:17">
      <c r="D87" s="1105" t="s">
        <v>818</v>
      </c>
      <c r="E87" s="1205" t="s">
        <v>1077</v>
      </c>
      <c r="F87" s="1107" t="s">
        <v>318</v>
      </c>
      <c r="G87" s="1108">
        <f t="shared" ref="G87:P87" si="28">SUM(G88:G90)</f>
        <v>0</v>
      </c>
      <c r="H87" s="1109">
        <f t="shared" si="28"/>
        <v>0</v>
      </c>
      <c r="I87" s="1109">
        <f t="shared" si="28"/>
        <v>0</v>
      </c>
      <c r="J87" s="1109">
        <f t="shared" si="28"/>
        <v>0</v>
      </c>
      <c r="K87" s="1109">
        <f t="shared" si="28"/>
        <v>0</v>
      </c>
      <c r="L87" s="1109">
        <f t="shared" si="28"/>
        <v>0</v>
      </c>
      <c r="M87" s="1109">
        <f t="shared" si="28"/>
        <v>0</v>
      </c>
      <c r="N87" s="1109">
        <f t="shared" si="28"/>
        <v>0</v>
      </c>
      <c r="O87" s="1109">
        <f t="shared" si="28"/>
        <v>0</v>
      </c>
      <c r="P87" s="1110">
        <f t="shared" si="28"/>
        <v>0</v>
      </c>
      <c r="Q87" s="1098"/>
    </row>
    <row r="88" spans="3:17">
      <c r="D88" s="1105" t="s">
        <v>377</v>
      </c>
      <c r="E88" s="1211" t="s">
        <v>378</v>
      </c>
      <c r="F88" s="1112" t="s">
        <v>318</v>
      </c>
      <c r="G88" s="1113">
        <f t="shared" ref="G88:P88" si="29">IF(G64&gt;G84,G84,G64)</f>
        <v>0</v>
      </c>
      <c r="H88" s="1114">
        <f t="shared" si="29"/>
        <v>0</v>
      </c>
      <c r="I88" s="1114">
        <f t="shared" si="29"/>
        <v>0</v>
      </c>
      <c r="J88" s="1114">
        <f t="shared" si="29"/>
        <v>0</v>
      </c>
      <c r="K88" s="1114">
        <f t="shared" si="29"/>
        <v>0</v>
      </c>
      <c r="L88" s="1114">
        <f t="shared" si="29"/>
        <v>0</v>
      </c>
      <c r="M88" s="1114">
        <f t="shared" si="29"/>
        <v>0</v>
      </c>
      <c r="N88" s="1114">
        <f t="shared" si="29"/>
        <v>0</v>
      </c>
      <c r="O88" s="1114">
        <f t="shared" si="29"/>
        <v>0</v>
      </c>
      <c r="P88" s="1115">
        <f t="shared" si="29"/>
        <v>0</v>
      </c>
      <c r="Q88" s="1098"/>
    </row>
    <row r="89" spans="3:17">
      <c r="D89" s="1105" t="s">
        <v>379</v>
      </c>
      <c r="E89" s="1211" t="s">
        <v>1078</v>
      </c>
      <c r="F89" s="1112" t="s">
        <v>318</v>
      </c>
      <c r="G89" s="1113">
        <f t="shared" ref="G89:P89" si="30">IF((G83-G78)&lt;G80,(G83-G78),G80)</f>
        <v>0</v>
      </c>
      <c r="H89" s="1114">
        <f t="shared" si="30"/>
        <v>0</v>
      </c>
      <c r="I89" s="1114">
        <f t="shared" si="30"/>
        <v>0</v>
      </c>
      <c r="J89" s="1114">
        <f t="shared" si="30"/>
        <v>0</v>
      </c>
      <c r="K89" s="1114">
        <f t="shared" si="30"/>
        <v>0</v>
      </c>
      <c r="L89" s="1114">
        <f t="shared" si="30"/>
        <v>0</v>
      </c>
      <c r="M89" s="1114">
        <f t="shared" si="30"/>
        <v>0</v>
      </c>
      <c r="N89" s="1114">
        <f t="shared" si="30"/>
        <v>0</v>
      </c>
      <c r="O89" s="1114">
        <f t="shared" si="30"/>
        <v>0</v>
      </c>
      <c r="P89" s="1115">
        <f t="shared" si="30"/>
        <v>0</v>
      </c>
      <c r="Q89" s="1098"/>
    </row>
    <row r="90" spans="3:17">
      <c r="D90" s="1105" t="s">
        <v>381</v>
      </c>
      <c r="E90" s="1211" t="s">
        <v>1076</v>
      </c>
      <c r="F90" s="1112" t="s">
        <v>318</v>
      </c>
      <c r="G90" s="1113">
        <f t="shared" ref="G90:P90" si="31">G83-G88-G89</f>
        <v>0</v>
      </c>
      <c r="H90" s="1114">
        <f t="shared" si="31"/>
        <v>0</v>
      </c>
      <c r="I90" s="1114">
        <f t="shared" si="31"/>
        <v>0</v>
      </c>
      <c r="J90" s="1114">
        <f t="shared" si="31"/>
        <v>0</v>
      </c>
      <c r="K90" s="1114">
        <f t="shared" si="31"/>
        <v>0</v>
      </c>
      <c r="L90" s="1114">
        <f t="shared" si="31"/>
        <v>0</v>
      </c>
      <c r="M90" s="1114">
        <f t="shared" si="31"/>
        <v>0</v>
      </c>
      <c r="N90" s="1114">
        <f t="shared" si="31"/>
        <v>0</v>
      </c>
      <c r="O90" s="1114">
        <f t="shared" si="31"/>
        <v>0</v>
      </c>
      <c r="P90" s="1115">
        <f t="shared" si="31"/>
        <v>0</v>
      </c>
      <c r="Q90" s="1098"/>
    </row>
    <row r="91" spans="3:17">
      <c r="E91" s="1212"/>
      <c r="F91" s="1213"/>
      <c r="G91" s="1214"/>
      <c r="H91" s="1215"/>
      <c r="I91" s="1215"/>
      <c r="J91" s="1215"/>
      <c r="K91" s="1215"/>
      <c r="L91" s="1215"/>
      <c r="M91" s="1215"/>
      <c r="N91" s="1215"/>
      <c r="O91" s="1215"/>
      <c r="P91" s="1215"/>
      <c r="Q91" s="1098"/>
    </row>
    <row r="92" spans="3:17">
      <c r="D92" s="1186"/>
      <c r="E92" s="1210" t="s">
        <v>1079</v>
      </c>
      <c r="F92" s="1188"/>
      <c r="G92" s="1189"/>
      <c r="H92" s="1190"/>
      <c r="I92" s="1190"/>
      <c r="J92" s="1190"/>
      <c r="K92" s="1190"/>
      <c r="L92" s="1190"/>
      <c r="M92" s="1190"/>
      <c r="N92" s="1190"/>
      <c r="O92" s="1190"/>
      <c r="P92" s="1191"/>
      <c r="Q92" s="1098"/>
    </row>
    <row r="93" spans="3:17">
      <c r="D93" s="1105" t="s">
        <v>111</v>
      </c>
      <c r="E93" s="1216" t="s">
        <v>1080</v>
      </c>
      <c r="F93" s="1107" t="s">
        <v>318</v>
      </c>
      <c r="G93" s="1108">
        <f t="shared" ref="G93:P93" si="32">SUM(G94:G96)-G99</f>
        <v>0</v>
      </c>
      <c r="H93" s="1109">
        <f t="shared" si="32"/>
        <v>0</v>
      </c>
      <c r="I93" s="1109">
        <f t="shared" si="32"/>
        <v>0</v>
      </c>
      <c r="J93" s="1109">
        <f t="shared" si="32"/>
        <v>0</v>
      </c>
      <c r="K93" s="1109">
        <f t="shared" si="32"/>
        <v>0</v>
      </c>
      <c r="L93" s="1109">
        <f t="shared" si="32"/>
        <v>0</v>
      </c>
      <c r="M93" s="1109">
        <f t="shared" si="32"/>
        <v>0</v>
      </c>
      <c r="N93" s="1109">
        <f t="shared" si="32"/>
        <v>0</v>
      </c>
      <c r="O93" s="1109">
        <f t="shared" si="32"/>
        <v>0</v>
      </c>
      <c r="P93" s="1110">
        <f t="shared" si="32"/>
        <v>0</v>
      </c>
      <c r="Q93" s="1098"/>
    </row>
    <row r="94" spans="3:17">
      <c r="D94" s="1105" t="s">
        <v>316</v>
      </c>
      <c r="E94" s="1204" t="s">
        <v>1081</v>
      </c>
      <c r="F94" s="1112" t="s">
        <v>318</v>
      </c>
      <c r="G94" s="1121"/>
      <c r="H94" s="1114">
        <f t="shared" ref="H94:P94" si="33">G93</f>
        <v>0</v>
      </c>
      <c r="I94" s="1114">
        <f t="shared" si="33"/>
        <v>0</v>
      </c>
      <c r="J94" s="1114">
        <f t="shared" si="33"/>
        <v>0</v>
      </c>
      <c r="K94" s="1114">
        <f t="shared" si="33"/>
        <v>0</v>
      </c>
      <c r="L94" s="1114">
        <f t="shared" si="33"/>
        <v>0</v>
      </c>
      <c r="M94" s="1114">
        <f t="shared" si="33"/>
        <v>0</v>
      </c>
      <c r="N94" s="1114">
        <f t="shared" si="33"/>
        <v>0</v>
      </c>
      <c r="O94" s="1114">
        <f t="shared" si="33"/>
        <v>0</v>
      </c>
      <c r="P94" s="1115">
        <f t="shared" si="33"/>
        <v>0</v>
      </c>
      <c r="Q94" s="1098"/>
    </row>
    <row r="95" spans="3:17" ht="22.5">
      <c r="D95" s="1105" t="s">
        <v>323</v>
      </c>
      <c r="E95" s="1211" t="s">
        <v>1082</v>
      </c>
      <c r="F95" s="1112" t="s">
        <v>318</v>
      </c>
      <c r="G95" s="1113">
        <f t="shared" ref="G95:P95" si="34">IF((G83-(G72-G74-G75-G103-G96*G105+G18+G13+G14+G15))&lt;0,0,(G83-(G72-G74-G75-G103-G96*G105+G18+G13+G14+G15)))</f>
        <v>0</v>
      </c>
      <c r="H95" s="1114">
        <f t="shared" si="34"/>
        <v>0</v>
      </c>
      <c r="I95" s="1114">
        <f t="shared" si="34"/>
        <v>0</v>
      </c>
      <c r="J95" s="1114">
        <f t="shared" si="34"/>
        <v>0</v>
      </c>
      <c r="K95" s="1114">
        <f t="shared" si="34"/>
        <v>0</v>
      </c>
      <c r="L95" s="1114">
        <f t="shared" si="34"/>
        <v>0</v>
      </c>
      <c r="M95" s="1114">
        <f t="shared" si="34"/>
        <v>0</v>
      </c>
      <c r="N95" s="1114">
        <f t="shared" si="34"/>
        <v>0</v>
      </c>
      <c r="O95" s="1114">
        <f t="shared" si="34"/>
        <v>0</v>
      </c>
      <c r="P95" s="1115">
        <f t="shared" si="34"/>
        <v>0</v>
      </c>
    </row>
    <row r="96" spans="3:17">
      <c r="D96" s="1105" t="s">
        <v>325</v>
      </c>
      <c r="E96" s="1211" t="s">
        <v>1083</v>
      </c>
      <c r="F96" s="1112" t="s">
        <v>318</v>
      </c>
      <c r="G96" s="1121"/>
      <c r="H96" s="1122"/>
      <c r="I96" s="1122"/>
      <c r="J96" s="1122"/>
      <c r="K96" s="1122"/>
      <c r="L96" s="1122"/>
      <c r="M96" s="1122"/>
      <c r="N96" s="1122"/>
      <c r="O96" s="1122"/>
      <c r="P96" s="1123"/>
    </row>
    <row r="97" spans="4:22" hidden="1">
      <c r="D97" s="1105"/>
      <c r="E97" s="1211" t="s">
        <v>1084</v>
      </c>
      <c r="F97" s="1112"/>
      <c r="G97" s="1217"/>
      <c r="H97" s="1218"/>
      <c r="I97" s="1218"/>
      <c r="J97" s="1218"/>
      <c r="K97" s="1218"/>
      <c r="L97" s="1218"/>
      <c r="M97" s="1218"/>
      <c r="N97" s="1218"/>
      <c r="O97" s="1218"/>
      <c r="P97" s="1219"/>
      <c r="Q97" s="1220"/>
      <c r="R97" s="1220"/>
      <c r="S97" s="1220"/>
      <c r="T97" s="1220"/>
      <c r="U97" s="1220"/>
      <c r="V97" s="1126"/>
    </row>
    <row r="98" spans="4:22">
      <c r="D98" s="1105"/>
      <c r="E98" s="1216" t="s">
        <v>1085</v>
      </c>
      <c r="F98" s="1112"/>
      <c r="G98" s="1118"/>
      <c r="H98" s="1119"/>
      <c r="I98" s="1119"/>
      <c r="J98" s="1119"/>
      <c r="K98" s="1119"/>
      <c r="L98" s="1119"/>
      <c r="M98" s="1119"/>
      <c r="N98" s="1119"/>
      <c r="O98" s="1119"/>
      <c r="P98" s="1120"/>
    </row>
    <row r="99" spans="4:22">
      <c r="D99" s="1105" t="s">
        <v>1056</v>
      </c>
      <c r="E99" s="1204" t="s">
        <v>1086</v>
      </c>
      <c r="F99" s="1112" t="s">
        <v>318</v>
      </c>
      <c r="G99" s="1121"/>
      <c r="H99" s="1122"/>
      <c r="I99" s="1122"/>
      <c r="J99" s="1122"/>
      <c r="K99" s="1122"/>
      <c r="L99" s="1122"/>
      <c r="M99" s="1122"/>
      <c r="N99" s="1122"/>
      <c r="O99" s="1122"/>
      <c r="P99" s="1123"/>
    </row>
    <row r="100" spans="4:22">
      <c r="D100" s="1221"/>
      <c r="E100" s="1210" t="s">
        <v>1087</v>
      </c>
      <c r="F100" s="1222"/>
      <c r="G100" s="1189"/>
      <c r="H100" s="1190"/>
      <c r="I100" s="1190"/>
      <c r="J100" s="1190"/>
      <c r="K100" s="1190"/>
      <c r="L100" s="1190"/>
      <c r="M100" s="1190"/>
      <c r="N100" s="1190"/>
      <c r="O100" s="1190"/>
      <c r="P100" s="1191"/>
    </row>
    <row r="101" spans="4:22">
      <c r="D101" s="1105" t="s">
        <v>113</v>
      </c>
      <c r="E101" s="1223" t="s">
        <v>1088</v>
      </c>
      <c r="F101" s="1112" t="s">
        <v>268</v>
      </c>
      <c r="G101" s="1166"/>
      <c r="H101" s="1167"/>
      <c r="I101" s="1167"/>
      <c r="J101" s="1167"/>
      <c r="K101" s="1167"/>
      <c r="L101" s="1167"/>
      <c r="M101" s="1167"/>
      <c r="N101" s="1167"/>
      <c r="O101" s="1167"/>
      <c r="P101" s="1172"/>
      <c r="Q101" s="1098"/>
    </row>
    <row r="102" spans="4:22">
      <c r="D102" s="1105" t="s">
        <v>818</v>
      </c>
      <c r="E102" s="1223" t="s">
        <v>1089</v>
      </c>
      <c r="F102" s="1112" t="s">
        <v>318</v>
      </c>
      <c r="G102" s="1113">
        <f t="shared" ref="G102:P102" si="35">G94</f>
        <v>0</v>
      </c>
      <c r="H102" s="1114">
        <f t="shared" si="35"/>
        <v>0</v>
      </c>
      <c r="I102" s="1114">
        <f t="shared" si="35"/>
        <v>0</v>
      </c>
      <c r="J102" s="1114">
        <f t="shared" si="35"/>
        <v>0</v>
      </c>
      <c r="K102" s="1114">
        <f t="shared" si="35"/>
        <v>0</v>
      </c>
      <c r="L102" s="1114">
        <f t="shared" si="35"/>
        <v>0</v>
      </c>
      <c r="M102" s="1114">
        <f t="shared" si="35"/>
        <v>0</v>
      </c>
      <c r="N102" s="1114">
        <f t="shared" si="35"/>
        <v>0</v>
      </c>
      <c r="O102" s="1114">
        <f t="shared" si="35"/>
        <v>0</v>
      </c>
      <c r="P102" s="1115">
        <f t="shared" si="35"/>
        <v>0</v>
      </c>
      <c r="Q102" s="1098"/>
    </row>
    <row r="103" spans="4:22">
      <c r="D103" s="1105" t="s">
        <v>820</v>
      </c>
      <c r="E103" s="1216" t="s">
        <v>1090</v>
      </c>
      <c r="F103" s="1107" t="s">
        <v>318</v>
      </c>
      <c r="G103" s="1108">
        <f t="shared" ref="G103:P103" si="36">G102*G101</f>
        <v>0</v>
      </c>
      <c r="H103" s="1109">
        <f t="shared" si="36"/>
        <v>0</v>
      </c>
      <c r="I103" s="1109">
        <f t="shared" si="36"/>
        <v>0</v>
      </c>
      <c r="J103" s="1109">
        <f t="shared" si="36"/>
        <v>0</v>
      </c>
      <c r="K103" s="1109">
        <f t="shared" si="36"/>
        <v>0</v>
      </c>
      <c r="L103" s="1109">
        <f t="shared" si="36"/>
        <v>0</v>
      </c>
      <c r="M103" s="1109">
        <f t="shared" si="36"/>
        <v>0</v>
      </c>
      <c r="N103" s="1109">
        <f t="shared" si="36"/>
        <v>0</v>
      </c>
      <c r="O103" s="1109">
        <f t="shared" si="36"/>
        <v>0</v>
      </c>
      <c r="P103" s="1110">
        <f t="shared" si="36"/>
        <v>0</v>
      </c>
      <c r="Q103" s="1098"/>
    </row>
    <row r="104" spans="4:22">
      <c r="D104" s="1221"/>
      <c r="E104" s="1210" t="s">
        <v>1091</v>
      </c>
      <c r="F104" s="1222"/>
      <c r="G104" s="1189"/>
      <c r="H104" s="1190"/>
      <c r="I104" s="1190"/>
      <c r="J104" s="1190"/>
      <c r="K104" s="1190"/>
      <c r="L104" s="1190"/>
      <c r="M104" s="1190"/>
      <c r="N104" s="1190"/>
      <c r="O104" s="1190"/>
      <c r="P104" s="1191"/>
      <c r="Q104" s="1098"/>
    </row>
    <row r="105" spans="4:22" ht="22.5">
      <c r="D105" s="1105" t="s">
        <v>822</v>
      </c>
      <c r="E105" s="1223" t="s">
        <v>1092</v>
      </c>
      <c r="F105" s="1112" t="s">
        <v>268</v>
      </c>
      <c r="G105" s="1166"/>
      <c r="H105" s="1167"/>
      <c r="I105" s="1167"/>
      <c r="J105" s="1167"/>
      <c r="K105" s="1167"/>
      <c r="L105" s="1167"/>
      <c r="M105" s="1167"/>
      <c r="N105" s="1167"/>
      <c r="O105" s="1167"/>
      <c r="P105" s="1172"/>
      <c r="Q105" s="1098"/>
    </row>
    <row r="106" spans="4:22">
      <c r="D106" s="1105" t="s">
        <v>824</v>
      </c>
      <c r="E106" s="1223" t="s">
        <v>1093</v>
      </c>
      <c r="F106" s="1112" t="s">
        <v>318</v>
      </c>
      <c r="G106" s="1113">
        <f t="shared" ref="G106:P106" si="37">G95+G96-G99</f>
        <v>0</v>
      </c>
      <c r="H106" s="1114">
        <f t="shared" si="37"/>
        <v>0</v>
      </c>
      <c r="I106" s="1114">
        <f t="shared" si="37"/>
        <v>0</v>
      </c>
      <c r="J106" s="1114">
        <f t="shared" si="37"/>
        <v>0</v>
      </c>
      <c r="K106" s="1114">
        <f t="shared" si="37"/>
        <v>0</v>
      </c>
      <c r="L106" s="1114">
        <f t="shared" si="37"/>
        <v>0</v>
      </c>
      <c r="M106" s="1114">
        <f t="shared" si="37"/>
        <v>0</v>
      </c>
      <c r="N106" s="1114">
        <f t="shared" si="37"/>
        <v>0</v>
      </c>
      <c r="O106" s="1114">
        <f t="shared" si="37"/>
        <v>0</v>
      </c>
      <c r="P106" s="1115">
        <f t="shared" si="37"/>
        <v>0</v>
      </c>
      <c r="Q106" s="1098"/>
    </row>
    <row r="107" spans="4:22">
      <c r="D107" s="1105" t="s">
        <v>832</v>
      </c>
      <c r="E107" s="1216" t="s">
        <v>1094</v>
      </c>
      <c r="F107" s="1107" t="s">
        <v>318</v>
      </c>
      <c r="G107" s="1108">
        <f t="shared" ref="G107:P107" si="38">G106*G105</f>
        <v>0</v>
      </c>
      <c r="H107" s="1109">
        <f t="shared" si="38"/>
        <v>0</v>
      </c>
      <c r="I107" s="1109">
        <f t="shared" si="38"/>
        <v>0</v>
      </c>
      <c r="J107" s="1109">
        <f t="shared" si="38"/>
        <v>0</v>
      </c>
      <c r="K107" s="1109">
        <f t="shared" si="38"/>
        <v>0</v>
      </c>
      <c r="L107" s="1109">
        <f t="shared" si="38"/>
        <v>0</v>
      </c>
      <c r="M107" s="1109">
        <f t="shared" si="38"/>
        <v>0</v>
      </c>
      <c r="N107" s="1109">
        <f t="shared" si="38"/>
        <v>0</v>
      </c>
      <c r="O107" s="1109">
        <f t="shared" si="38"/>
        <v>0</v>
      </c>
      <c r="P107" s="1110">
        <f t="shared" si="38"/>
        <v>0</v>
      </c>
      <c r="Q107" s="1098"/>
    </row>
    <row r="108" spans="4:22">
      <c r="D108" s="1105" t="s">
        <v>833</v>
      </c>
      <c r="E108" s="1216" t="s">
        <v>1095</v>
      </c>
      <c r="F108" s="1107" t="s">
        <v>318</v>
      </c>
      <c r="G108" s="1108">
        <f t="shared" ref="G108:P108" si="39">G103+G107</f>
        <v>0</v>
      </c>
      <c r="H108" s="1109">
        <f t="shared" si="39"/>
        <v>0</v>
      </c>
      <c r="I108" s="1109">
        <f t="shared" si="39"/>
        <v>0</v>
      </c>
      <c r="J108" s="1109">
        <f t="shared" si="39"/>
        <v>0</v>
      </c>
      <c r="K108" s="1109">
        <f t="shared" si="39"/>
        <v>0</v>
      </c>
      <c r="L108" s="1109">
        <f t="shared" si="39"/>
        <v>0</v>
      </c>
      <c r="M108" s="1109">
        <f t="shared" si="39"/>
        <v>0</v>
      </c>
      <c r="N108" s="1109">
        <f t="shared" si="39"/>
        <v>0</v>
      </c>
      <c r="O108" s="1109">
        <f t="shared" si="39"/>
        <v>0</v>
      </c>
      <c r="P108" s="1110">
        <f t="shared" si="39"/>
        <v>0</v>
      </c>
      <c r="Q108" s="1098"/>
    </row>
    <row r="109" spans="4:22">
      <c r="D109" s="1221"/>
      <c r="E109" s="1210" t="s">
        <v>1096</v>
      </c>
      <c r="F109" s="1222"/>
      <c r="G109" s="1189"/>
      <c r="H109" s="1190"/>
      <c r="I109" s="1190"/>
      <c r="J109" s="1190"/>
      <c r="K109" s="1190"/>
      <c r="L109" s="1190"/>
      <c r="M109" s="1190"/>
      <c r="N109" s="1190"/>
      <c r="O109" s="1190"/>
      <c r="P109" s="1191"/>
      <c r="Q109" s="1098"/>
    </row>
    <row r="110" spans="4:22">
      <c r="D110" s="1105" t="s">
        <v>407</v>
      </c>
      <c r="E110" s="1133" t="s">
        <v>396</v>
      </c>
      <c r="F110" s="1100" t="s">
        <v>318</v>
      </c>
      <c r="G110" s="1113">
        <f>G22</f>
        <v>0</v>
      </c>
      <c r="H110" s="1114">
        <f t="shared" ref="H110:P110" si="40">G110</f>
        <v>0</v>
      </c>
      <c r="I110" s="1114">
        <f t="shared" si="40"/>
        <v>0</v>
      </c>
      <c r="J110" s="1114">
        <f t="shared" si="40"/>
        <v>0</v>
      </c>
      <c r="K110" s="1114">
        <f t="shared" si="40"/>
        <v>0</v>
      </c>
      <c r="L110" s="1114">
        <f t="shared" si="40"/>
        <v>0</v>
      </c>
      <c r="M110" s="1114">
        <f t="shared" si="40"/>
        <v>0</v>
      </c>
      <c r="N110" s="1114">
        <f t="shared" si="40"/>
        <v>0</v>
      </c>
      <c r="O110" s="1114">
        <f t="shared" si="40"/>
        <v>0</v>
      </c>
      <c r="P110" s="1115">
        <f t="shared" si="40"/>
        <v>0</v>
      </c>
      <c r="Q110" s="1098"/>
    </row>
    <row r="111" spans="4:22">
      <c r="D111" s="1105" t="s">
        <v>999</v>
      </c>
      <c r="E111" s="1205" t="s">
        <v>1097</v>
      </c>
      <c r="F111" s="1112" t="s">
        <v>268</v>
      </c>
      <c r="G111" s="1224">
        <f t="shared" ref="G111:P111" si="41">IF(G110=0,0,G93/G110)</f>
        <v>0</v>
      </c>
      <c r="H111" s="1225">
        <f t="shared" si="41"/>
        <v>0</v>
      </c>
      <c r="I111" s="1225">
        <f t="shared" si="41"/>
        <v>0</v>
      </c>
      <c r="J111" s="1225">
        <f t="shared" si="41"/>
        <v>0</v>
      </c>
      <c r="K111" s="1225">
        <f t="shared" si="41"/>
        <v>0</v>
      </c>
      <c r="L111" s="1225">
        <f t="shared" si="41"/>
        <v>0</v>
      </c>
      <c r="M111" s="1225">
        <f t="shared" si="41"/>
        <v>0</v>
      </c>
      <c r="N111" s="1225">
        <f t="shared" si="41"/>
        <v>0</v>
      </c>
      <c r="O111" s="1225">
        <f t="shared" si="41"/>
        <v>0</v>
      </c>
      <c r="P111" s="1226">
        <f t="shared" si="41"/>
        <v>0</v>
      </c>
      <c r="Q111" s="1098"/>
    </row>
    <row r="112" spans="4:22">
      <c r="D112" s="1105" t="s">
        <v>1001</v>
      </c>
      <c r="E112" s="1205" t="s">
        <v>1098</v>
      </c>
      <c r="F112" s="1112" t="s">
        <v>268</v>
      </c>
      <c r="G112" s="1224">
        <f t="shared" ref="G112:P112" si="42">IF(G83=0,0,G95/G83)</f>
        <v>0</v>
      </c>
      <c r="H112" s="1225">
        <f t="shared" si="42"/>
        <v>0</v>
      </c>
      <c r="I112" s="1225">
        <f t="shared" si="42"/>
        <v>0</v>
      </c>
      <c r="J112" s="1225">
        <f t="shared" si="42"/>
        <v>0</v>
      </c>
      <c r="K112" s="1225">
        <f t="shared" si="42"/>
        <v>0</v>
      </c>
      <c r="L112" s="1225">
        <f t="shared" si="42"/>
        <v>0</v>
      </c>
      <c r="M112" s="1225">
        <f t="shared" si="42"/>
        <v>0</v>
      </c>
      <c r="N112" s="1225">
        <f t="shared" si="42"/>
        <v>0</v>
      </c>
      <c r="O112" s="1225">
        <f t="shared" si="42"/>
        <v>0</v>
      </c>
      <c r="P112" s="1226">
        <f t="shared" si="42"/>
        <v>0</v>
      </c>
      <c r="Q112" s="1098"/>
    </row>
    <row r="113" spans="4:17">
      <c r="D113" s="1105" t="s">
        <v>1003</v>
      </c>
      <c r="E113" s="1205" t="s">
        <v>1099</v>
      </c>
      <c r="F113" s="1112"/>
      <c r="G113" s="1227" t="e">
        <f>(G93/(G11+G12+G18+G69))</f>
        <v>#DIV/0!</v>
      </c>
      <c r="H113" s="1227" t="e">
        <f t="shared" ref="H113:P113" si="43">(H93/(H11+H12+H18+H69))</f>
        <v>#DIV/0!</v>
      </c>
      <c r="I113" s="1227" t="e">
        <f t="shared" si="43"/>
        <v>#DIV/0!</v>
      </c>
      <c r="J113" s="1227" t="e">
        <f t="shared" si="43"/>
        <v>#DIV/0!</v>
      </c>
      <c r="K113" s="1227" t="e">
        <f t="shared" si="43"/>
        <v>#DIV/0!</v>
      </c>
      <c r="L113" s="1227" t="e">
        <f t="shared" si="43"/>
        <v>#DIV/0!</v>
      </c>
      <c r="M113" s="1227" t="e">
        <f t="shared" si="43"/>
        <v>#DIV/0!</v>
      </c>
      <c r="N113" s="1227" t="e">
        <f t="shared" si="43"/>
        <v>#DIV/0!</v>
      </c>
      <c r="O113" s="1227" t="e">
        <f t="shared" si="43"/>
        <v>#DIV/0!</v>
      </c>
      <c r="P113" s="1227" t="e">
        <f t="shared" si="43"/>
        <v>#DIV/0!</v>
      </c>
      <c r="Q113" s="1098"/>
    </row>
    <row r="114" spans="4:17" ht="27.75" customHeight="1">
      <c r="E114" s="1228" t="s">
        <v>1100</v>
      </c>
      <c r="G114" s="1229"/>
      <c r="Q114" s="1098"/>
    </row>
    <row r="115" spans="4:17">
      <c r="D115" s="1230">
        <v>1</v>
      </c>
      <c r="E115" s="1231" t="s">
        <v>1007</v>
      </c>
      <c r="F115" s="1232" t="s">
        <v>600</v>
      </c>
      <c r="G115" s="1233">
        <f t="shared" ref="G115:P115" si="44">G8</f>
        <v>0</v>
      </c>
      <c r="H115" s="1234">
        <f t="shared" si="44"/>
        <v>0</v>
      </c>
      <c r="I115" s="1234">
        <f t="shared" si="44"/>
        <v>0</v>
      </c>
      <c r="J115" s="1234">
        <f t="shared" si="44"/>
        <v>0</v>
      </c>
      <c r="K115" s="1234">
        <f t="shared" si="44"/>
        <v>0</v>
      </c>
      <c r="L115" s="1234">
        <f t="shared" si="44"/>
        <v>0</v>
      </c>
      <c r="M115" s="1234">
        <f t="shared" si="44"/>
        <v>0</v>
      </c>
      <c r="N115" s="1234">
        <f t="shared" si="44"/>
        <v>0</v>
      </c>
      <c r="O115" s="1234">
        <f t="shared" si="44"/>
        <v>0</v>
      </c>
      <c r="P115" s="1235">
        <f t="shared" si="44"/>
        <v>0</v>
      </c>
      <c r="Q115" s="1098"/>
    </row>
    <row r="116" spans="4:17">
      <c r="D116" s="1230">
        <v>2</v>
      </c>
      <c r="E116" s="1231" t="s">
        <v>1101</v>
      </c>
      <c r="F116" s="1232" t="s">
        <v>236</v>
      </c>
      <c r="G116" s="1830"/>
      <c r="H116" s="1831"/>
      <c r="I116" s="1831"/>
      <c r="J116" s="1831"/>
      <c r="K116" s="1831"/>
      <c r="L116" s="1831"/>
      <c r="M116" s="1831"/>
      <c r="N116" s="1831"/>
      <c r="O116" s="1831"/>
      <c r="P116" s="1832"/>
      <c r="Q116" s="1098"/>
    </row>
    <row r="117" spans="4:17">
      <c r="D117" s="1230">
        <v>3</v>
      </c>
      <c r="E117" s="1231" t="s">
        <v>1102</v>
      </c>
      <c r="F117" s="1232" t="s">
        <v>1103</v>
      </c>
      <c r="G117" s="1234" t="e">
        <f t="shared" ref="G117:L117" si="45">(G115/G116/10)</f>
        <v>#DIV/0!</v>
      </c>
      <c r="H117" s="1234" t="e">
        <f t="shared" si="45"/>
        <v>#DIV/0!</v>
      </c>
      <c r="I117" s="1234" t="e">
        <f t="shared" si="45"/>
        <v>#DIV/0!</v>
      </c>
      <c r="J117" s="1234" t="e">
        <f t="shared" si="45"/>
        <v>#DIV/0!</v>
      </c>
      <c r="K117" s="1234" t="e">
        <f t="shared" si="45"/>
        <v>#DIV/0!</v>
      </c>
      <c r="L117" s="1234" t="e">
        <f t="shared" si="45"/>
        <v>#DIV/0!</v>
      </c>
      <c r="M117" s="1234" t="e">
        <f>(M115/M116/10)</f>
        <v>#DIV/0!</v>
      </c>
      <c r="N117" s="1234" t="e">
        <f t="shared" ref="N117:P117" si="46">(N115/N116/10)</f>
        <v>#DIV/0!</v>
      </c>
      <c r="O117" s="1234" t="e">
        <f t="shared" si="46"/>
        <v>#DIV/0!</v>
      </c>
      <c r="P117" s="1234" t="e">
        <f t="shared" si="46"/>
        <v>#DIV/0!</v>
      </c>
      <c r="Q117" s="1098"/>
    </row>
    <row r="118" spans="4:17">
      <c r="D118" s="1230">
        <v>4</v>
      </c>
      <c r="E118" s="1231" t="s">
        <v>1104</v>
      </c>
      <c r="F118" s="1232" t="s">
        <v>268</v>
      </c>
      <c r="G118" s="1236"/>
      <c r="H118" s="1225" t="e">
        <f t="shared" ref="H118:L118" si="47">(H117/G117)</f>
        <v>#DIV/0!</v>
      </c>
      <c r="I118" s="1225" t="e">
        <f t="shared" si="47"/>
        <v>#DIV/0!</v>
      </c>
      <c r="J118" s="1225" t="e">
        <f t="shared" si="47"/>
        <v>#DIV/0!</v>
      </c>
      <c r="K118" s="1225" t="e">
        <f t="shared" si="47"/>
        <v>#DIV/0!</v>
      </c>
      <c r="L118" s="1225" t="e">
        <f t="shared" si="47"/>
        <v>#DIV/0!</v>
      </c>
      <c r="M118" s="1225" t="e">
        <f>(M117/L117)</f>
        <v>#DIV/0!</v>
      </c>
      <c r="N118" s="1225" t="e">
        <f t="shared" ref="N118:P118" si="48">(N117/M117)</f>
        <v>#DIV/0!</v>
      </c>
      <c r="O118" s="1225" t="e">
        <f t="shared" si="48"/>
        <v>#DIV/0!</v>
      </c>
      <c r="P118" s="1225" t="e">
        <f t="shared" si="48"/>
        <v>#DIV/0!</v>
      </c>
      <c r="Q118" s="1098"/>
    </row>
  </sheetData>
  <sheetProtection formatColumns="0" formatRows="0" autoFilter="0"/>
  <mergeCells count="4">
    <mergeCell ref="D4:F4"/>
    <mergeCell ref="D5:F5"/>
    <mergeCell ref="G5:P5"/>
    <mergeCell ref="G6:P6"/>
  </mergeCells>
  <pageMargins left="0.75" right="0.75" top="1" bottom="1" header="0.5" footer="0.5"/>
  <pageSetup paperSize="9" orientation="portrait" verticalDpi="200"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ErrorMessage="1" errorTitle="Ошибка" error="Допускается ввод только действительных чисел!">
          <x14:formula1>
            <xm:f>-9.99999999999999E+23</xm:f>
          </x14:formula1>
          <x14:formula2>
            <xm:f>9.99999999999999E+23</xm:f>
          </x14:formula2>
          <xm:sqref>H24:P25 JD24:JL25 SZ24:TH25 ACV24:ADD25 AMR24:AMZ25 AWN24:AWV25 BGJ24:BGR25 BQF24:BQN25 CAB24:CAJ25 CJX24:CKF25 CTT24:CUB25 DDP24:DDX25 DNL24:DNT25 DXH24:DXP25 EHD24:EHL25 EQZ24:ERH25 FAV24:FBD25 FKR24:FKZ25 FUN24:FUV25 GEJ24:GER25 GOF24:GON25 GYB24:GYJ25 HHX24:HIF25 HRT24:HSB25 IBP24:IBX25 ILL24:ILT25 IVH24:IVP25 JFD24:JFL25 JOZ24:JPH25 JYV24:JZD25 KIR24:KIZ25 KSN24:KSV25 LCJ24:LCR25 LMF24:LMN25 LWB24:LWJ25 MFX24:MGF25 MPT24:MQB25 MZP24:MZX25 NJL24:NJT25 NTH24:NTP25 ODD24:ODL25 OMZ24:ONH25 OWV24:OXD25 PGR24:PGZ25 PQN24:PQV25 QAJ24:QAR25 QKF24:QKN25 QUB24:QUJ25 RDX24:REF25 RNT24:ROB25 RXP24:RXX25 SHL24:SHT25 SRH24:SRP25 TBD24:TBL25 TKZ24:TLH25 TUV24:TVD25 UER24:UEZ25 UON24:UOV25 UYJ24:UYR25 VIF24:VIN25 VSB24:VSJ25 WBX24:WCF25 WLT24:WMB25 WVP24:WVX25 H65560:P65561 JD65560:JL65561 SZ65560:TH65561 ACV65560:ADD65561 AMR65560:AMZ65561 AWN65560:AWV65561 BGJ65560:BGR65561 BQF65560:BQN65561 CAB65560:CAJ65561 CJX65560:CKF65561 CTT65560:CUB65561 DDP65560:DDX65561 DNL65560:DNT65561 DXH65560:DXP65561 EHD65560:EHL65561 EQZ65560:ERH65561 FAV65560:FBD65561 FKR65560:FKZ65561 FUN65560:FUV65561 GEJ65560:GER65561 GOF65560:GON65561 GYB65560:GYJ65561 HHX65560:HIF65561 HRT65560:HSB65561 IBP65560:IBX65561 ILL65560:ILT65561 IVH65560:IVP65561 JFD65560:JFL65561 JOZ65560:JPH65561 JYV65560:JZD65561 KIR65560:KIZ65561 KSN65560:KSV65561 LCJ65560:LCR65561 LMF65560:LMN65561 LWB65560:LWJ65561 MFX65560:MGF65561 MPT65560:MQB65561 MZP65560:MZX65561 NJL65560:NJT65561 NTH65560:NTP65561 ODD65560:ODL65561 OMZ65560:ONH65561 OWV65560:OXD65561 PGR65560:PGZ65561 PQN65560:PQV65561 QAJ65560:QAR65561 QKF65560:QKN65561 QUB65560:QUJ65561 RDX65560:REF65561 RNT65560:ROB65561 RXP65560:RXX65561 SHL65560:SHT65561 SRH65560:SRP65561 TBD65560:TBL65561 TKZ65560:TLH65561 TUV65560:TVD65561 UER65560:UEZ65561 UON65560:UOV65561 UYJ65560:UYR65561 VIF65560:VIN65561 VSB65560:VSJ65561 WBX65560:WCF65561 WLT65560:WMB65561 WVP65560:WVX65561 H131096:P131097 JD131096:JL131097 SZ131096:TH131097 ACV131096:ADD131097 AMR131096:AMZ131097 AWN131096:AWV131097 BGJ131096:BGR131097 BQF131096:BQN131097 CAB131096:CAJ131097 CJX131096:CKF131097 CTT131096:CUB131097 DDP131096:DDX131097 DNL131096:DNT131097 DXH131096:DXP131097 EHD131096:EHL131097 EQZ131096:ERH131097 FAV131096:FBD131097 FKR131096:FKZ131097 FUN131096:FUV131097 GEJ131096:GER131097 GOF131096:GON131097 GYB131096:GYJ131097 HHX131096:HIF131097 HRT131096:HSB131097 IBP131096:IBX131097 ILL131096:ILT131097 IVH131096:IVP131097 JFD131096:JFL131097 JOZ131096:JPH131097 JYV131096:JZD131097 KIR131096:KIZ131097 KSN131096:KSV131097 LCJ131096:LCR131097 LMF131096:LMN131097 LWB131096:LWJ131097 MFX131096:MGF131097 MPT131096:MQB131097 MZP131096:MZX131097 NJL131096:NJT131097 NTH131096:NTP131097 ODD131096:ODL131097 OMZ131096:ONH131097 OWV131096:OXD131097 PGR131096:PGZ131097 PQN131096:PQV131097 QAJ131096:QAR131097 QKF131096:QKN131097 QUB131096:QUJ131097 RDX131096:REF131097 RNT131096:ROB131097 RXP131096:RXX131097 SHL131096:SHT131097 SRH131096:SRP131097 TBD131096:TBL131097 TKZ131096:TLH131097 TUV131096:TVD131097 UER131096:UEZ131097 UON131096:UOV131097 UYJ131096:UYR131097 VIF131096:VIN131097 VSB131096:VSJ131097 WBX131096:WCF131097 WLT131096:WMB131097 WVP131096:WVX131097 H196632:P196633 JD196632:JL196633 SZ196632:TH196633 ACV196632:ADD196633 AMR196632:AMZ196633 AWN196632:AWV196633 BGJ196632:BGR196633 BQF196632:BQN196633 CAB196632:CAJ196633 CJX196632:CKF196633 CTT196632:CUB196633 DDP196632:DDX196633 DNL196632:DNT196633 DXH196632:DXP196633 EHD196632:EHL196633 EQZ196632:ERH196633 FAV196632:FBD196633 FKR196632:FKZ196633 FUN196632:FUV196633 GEJ196632:GER196633 GOF196632:GON196633 GYB196632:GYJ196633 HHX196632:HIF196633 HRT196632:HSB196633 IBP196632:IBX196633 ILL196632:ILT196633 IVH196632:IVP196633 JFD196632:JFL196633 JOZ196632:JPH196633 JYV196632:JZD196633 KIR196632:KIZ196633 KSN196632:KSV196633 LCJ196632:LCR196633 LMF196632:LMN196633 LWB196632:LWJ196633 MFX196632:MGF196633 MPT196632:MQB196633 MZP196632:MZX196633 NJL196632:NJT196633 NTH196632:NTP196633 ODD196632:ODL196633 OMZ196632:ONH196633 OWV196632:OXD196633 PGR196632:PGZ196633 PQN196632:PQV196633 QAJ196632:QAR196633 QKF196632:QKN196633 QUB196632:QUJ196633 RDX196632:REF196633 RNT196632:ROB196633 RXP196632:RXX196633 SHL196632:SHT196633 SRH196632:SRP196633 TBD196632:TBL196633 TKZ196632:TLH196633 TUV196632:TVD196633 UER196632:UEZ196633 UON196632:UOV196633 UYJ196632:UYR196633 VIF196632:VIN196633 VSB196632:VSJ196633 WBX196632:WCF196633 WLT196632:WMB196633 WVP196632:WVX196633 H262168:P262169 JD262168:JL262169 SZ262168:TH262169 ACV262168:ADD262169 AMR262168:AMZ262169 AWN262168:AWV262169 BGJ262168:BGR262169 BQF262168:BQN262169 CAB262168:CAJ262169 CJX262168:CKF262169 CTT262168:CUB262169 DDP262168:DDX262169 DNL262168:DNT262169 DXH262168:DXP262169 EHD262168:EHL262169 EQZ262168:ERH262169 FAV262168:FBD262169 FKR262168:FKZ262169 FUN262168:FUV262169 GEJ262168:GER262169 GOF262168:GON262169 GYB262168:GYJ262169 HHX262168:HIF262169 HRT262168:HSB262169 IBP262168:IBX262169 ILL262168:ILT262169 IVH262168:IVP262169 JFD262168:JFL262169 JOZ262168:JPH262169 JYV262168:JZD262169 KIR262168:KIZ262169 KSN262168:KSV262169 LCJ262168:LCR262169 LMF262168:LMN262169 LWB262168:LWJ262169 MFX262168:MGF262169 MPT262168:MQB262169 MZP262168:MZX262169 NJL262168:NJT262169 NTH262168:NTP262169 ODD262168:ODL262169 OMZ262168:ONH262169 OWV262168:OXD262169 PGR262168:PGZ262169 PQN262168:PQV262169 QAJ262168:QAR262169 QKF262168:QKN262169 QUB262168:QUJ262169 RDX262168:REF262169 RNT262168:ROB262169 RXP262168:RXX262169 SHL262168:SHT262169 SRH262168:SRP262169 TBD262168:TBL262169 TKZ262168:TLH262169 TUV262168:TVD262169 UER262168:UEZ262169 UON262168:UOV262169 UYJ262168:UYR262169 VIF262168:VIN262169 VSB262168:VSJ262169 WBX262168:WCF262169 WLT262168:WMB262169 WVP262168:WVX262169 H327704:P327705 JD327704:JL327705 SZ327704:TH327705 ACV327704:ADD327705 AMR327704:AMZ327705 AWN327704:AWV327705 BGJ327704:BGR327705 BQF327704:BQN327705 CAB327704:CAJ327705 CJX327704:CKF327705 CTT327704:CUB327705 DDP327704:DDX327705 DNL327704:DNT327705 DXH327704:DXP327705 EHD327704:EHL327705 EQZ327704:ERH327705 FAV327704:FBD327705 FKR327704:FKZ327705 FUN327704:FUV327705 GEJ327704:GER327705 GOF327704:GON327705 GYB327704:GYJ327705 HHX327704:HIF327705 HRT327704:HSB327705 IBP327704:IBX327705 ILL327704:ILT327705 IVH327704:IVP327705 JFD327704:JFL327705 JOZ327704:JPH327705 JYV327704:JZD327705 KIR327704:KIZ327705 KSN327704:KSV327705 LCJ327704:LCR327705 LMF327704:LMN327705 LWB327704:LWJ327705 MFX327704:MGF327705 MPT327704:MQB327705 MZP327704:MZX327705 NJL327704:NJT327705 NTH327704:NTP327705 ODD327704:ODL327705 OMZ327704:ONH327705 OWV327704:OXD327705 PGR327704:PGZ327705 PQN327704:PQV327705 QAJ327704:QAR327705 QKF327704:QKN327705 QUB327704:QUJ327705 RDX327704:REF327705 RNT327704:ROB327705 RXP327704:RXX327705 SHL327704:SHT327705 SRH327704:SRP327705 TBD327704:TBL327705 TKZ327704:TLH327705 TUV327704:TVD327705 UER327704:UEZ327705 UON327704:UOV327705 UYJ327704:UYR327705 VIF327704:VIN327705 VSB327704:VSJ327705 WBX327704:WCF327705 WLT327704:WMB327705 WVP327704:WVX327705 H393240:P393241 JD393240:JL393241 SZ393240:TH393241 ACV393240:ADD393241 AMR393240:AMZ393241 AWN393240:AWV393241 BGJ393240:BGR393241 BQF393240:BQN393241 CAB393240:CAJ393241 CJX393240:CKF393241 CTT393240:CUB393241 DDP393240:DDX393241 DNL393240:DNT393241 DXH393240:DXP393241 EHD393240:EHL393241 EQZ393240:ERH393241 FAV393240:FBD393241 FKR393240:FKZ393241 FUN393240:FUV393241 GEJ393240:GER393241 GOF393240:GON393241 GYB393240:GYJ393241 HHX393240:HIF393241 HRT393240:HSB393241 IBP393240:IBX393241 ILL393240:ILT393241 IVH393240:IVP393241 JFD393240:JFL393241 JOZ393240:JPH393241 JYV393240:JZD393241 KIR393240:KIZ393241 KSN393240:KSV393241 LCJ393240:LCR393241 LMF393240:LMN393241 LWB393240:LWJ393241 MFX393240:MGF393241 MPT393240:MQB393241 MZP393240:MZX393241 NJL393240:NJT393241 NTH393240:NTP393241 ODD393240:ODL393241 OMZ393240:ONH393241 OWV393240:OXD393241 PGR393240:PGZ393241 PQN393240:PQV393241 QAJ393240:QAR393241 QKF393240:QKN393241 QUB393240:QUJ393241 RDX393240:REF393241 RNT393240:ROB393241 RXP393240:RXX393241 SHL393240:SHT393241 SRH393240:SRP393241 TBD393240:TBL393241 TKZ393240:TLH393241 TUV393240:TVD393241 UER393240:UEZ393241 UON393240:UOV393241 UYJ393240:UYR393241 VIF393240:VIN393241 VSB393240:VSJ393241 WBX393240:WCF393241 WLT393240:WMB393241 WVP393240:WVX393241 H458776:P458777 JD458776:JL458777 SZ458776:TH458777 ACV458776:ADD458777 AMR458776:AMZ458777 AWN458776:AWV458777 BGJ458776:BGR458777 BQF458776:BQN458777 CAB458776:CAJ458777 CJX458776:CKF458777 CTT458776:CUB458777 DDP458776:DDX458777 DNL458776:DNT458777 DXH458776:DXP458777 EHD458776:EHL458777 EQZ458776:ERH458777 FAV458776:FBD458777 FKR458776:FKZ458777 FUN458776:FUV458777 GEJ458776:GER458777 GOF458776:GON458777 GYB458776:GYJ458777 HHX458776:HIF458777 HRT458776:HSB458777 IBP458776:IBX458777 ILL458776:ILT458777 IVH458776:IVP458777 JFD458776:JFL458777 JOZ458776:JPH458777 JYV458776:JZD458777 KIR458776:KIZ458777 KSN458776:KSV458777 LCJ458776:LCR458777 LMF458776:LMN458777 LWB458776:LWJ458777 MFX458776:MGF458777 MPT458776:MQB458777 MZP458776:MZX458777 NJL458776:NJT458777 NTH458776:NTP458777 ODD458776:ODL458777 OMZ458776:ONH458777 OWV458776:OXD458777 PGR458776:PGZ458777 PQN458776:PQV458777 QAJ458776:QAR458777 QKF458776:QKN458777 QUB458776:QUJ458777 RDX458776:REF458777 RNT458776:ROB458777 RXP458776:RXX458777 SHL458776:SHT458777 SRH458776:SRP458777 TBD458776:TBL458777 TKZ458776:TLH458777 TUV458776:TVD458777 UER458776:UEZ458777 UON458776:UOV458777 UYJ458776:UYR458777 VIF458776:VIN458777 VSB458776:VSJ458777 WBX458776:WCF458777 WLT458776:WMB458777 WVP458776:WVX458777 H524312:P524313 JD524312:JL524313 SZ524312:TH524313 ACV524312:ADD524313 AMR524312:AMZ524313 AWN524312:AWV524313 BGJ524312:BGR524313 BQF524312:BQN524313 CAB524312:CAJ524313 CJX524312:CKF524313 CTT524312:CUB524313 DDP524312:DDX524313 DNL524312:DNT524313 DXH524312:DXP524313 EHD524312:EHL524313 EQZ524312:ERH524313 FAV524312:FBD524313 FKR524312:FKZ524313 FUN524312:FUV524313 GEJ524312:GER524313 GOF524312:GON524313 GYB524312:GYJ524313 HHX524312:HIF524313 HRT524312:HSB524313 IBP524312:IBX524313 ILL524312:ILT524313 IVH524312:IVP524313 JFD524312:JFL524313 JOZ524312:JPH524313 JYV524312:JZD524313 KIR524312:KIZ524313 KSN524312:KSV524313 LCJ524312:LCR524313 LMF524312:LMN524313 LWB524312:LWJ524313 MFX524312:MGF524313 MPT524312:MQB524313 MZP524312:MZX524313 NJL524312:NJT524313 NTH524312:NTP524313 ODD524312:ODL524313 OMZ524312:ONH524313 OWV524312:OXD524313 PGR524312:PGZ524313 PQN524312:PQV524313 QAJ524312:QAR524313 QKF524312:QKN524313 QUB524312:QUJ524313 RDX524312:REF524313 RNT524312:ROB524313 RXP524312:RXX524313 SHL524312:SHT524313 SRH524312:SRP524313 TBD524312:TBL524313 TKZ524312:TLH524313 TUV524312:TVD524313 UER524312:UEZ524313 UON524312:UOV524313 UYJ524312:UYR524313 VIF524312:VIN524313 VSB524312:VSJ524313 WBX524312:WCF524313 WLT524312:WMB524313 WVP524312:WVX524313 H589848:P589849 JD589848:JL589849 SZ589848:TH589849 ACV589848:ADD589849 AMR589848:AMZ589849 AWN589848:AWV589849 BGJ589848:BGR589849 BQF589848:BQN589849 CAB589848:CAJ589849 CJX589848:CKF589849 CTT589848:CUB589849 DDP589848:DDX589849 DNL589848:DNT589849 DXH589848:DXP589849 EHD589848:EHL589849 EQZ589848:ERH589849 FAV589848:FBD589849 FKR589848:FKZ589849 FUN589848:FUV589849 GEJ589848:GER589849 GOF589848:GON589849 GYB589848:GYJ589849 HHX589848:HIF589849 HRT589848:HSB589849 IBP589848:IBX589849 ILL589848:ILT589849 IVH589848:IVP589849 JFD589848:JFL589849 JOZ589848:JPH589849 JYV589848:JZD589849 KIR589848:KIZ589849 KSN589848:KSV589849 LCJ589848:LCR589849 LMF589848:LMN589849 LWB589848:LWJ589849 MFX589848:MGF589849 MPT589848:MQB589849 MZP589848:MZX589849 NJL589848:NJT589849 NTH589848:NTP589849 ODD589848:ODL589849 OMZ589848:ONH589849 OWV589848:OXD589849 PGR589848:PGZ589849 PQN589848:PQV589849 QAJ589848:QAR589849 QKF589848:QKN589849 QUB589848:QUJ589849 RDX589848:REF589849 RNT589848:ROB589849 RXP589848:RXX589849 SHL589848:SHT589849 SRH589848:SRP589849 TBD589848:TBL589849 TKZ589848:TLH589849 TUV589848:TVD589849 UER589848:UEZ589849 UON589848:UOV589849 UYJ589848:UYR589849 VIF589848:VIN589849 VSB589848:VSJ589849 WBX589848:WCF589849 WLT589848:WMB589849 WVP589848:WVX589849 H655384:P655385 JD655384:JL655385 SZ655384:TH655385 ACV655384:ADD655385 AMR655384:AMZ655385 AWN655384:AWV655385 BGJ655384:BGR655385 BQF655384:BQN655385 CAB655384:CAJ655385 CJX655384:CKF655385 CTT655384:CUB655385 DDP655384:DDX655385 DNL655384:DNT655385 DXH655384:DXP655385 EHD655384:EHL655385 EQZ655384:ERH655385 FAV655384:FBD655385 FKR655384:FKZ655385 FUN655384:FUV655385 GEJ655384:GER655385 GOF655384:GON655385 GYB655384:GYJ655385 HHX655384:HIF655385 HRT655384:HSB655385 IBP655384:IBX655385 ILL655384:ILT655385 IVH655384:IVP655385 JFD655384:JFL655385 JOZ655384:JPH655385 JYV655384:JZD655385 KIR655384:KIZ655385 KSN655384:KSV655385 LCJ655384:LCR655385 LMF655384:LMN655385 LWB655384:LWJ655385 MFX655384:MGF655385 MPT655384:MQB655385 MZP655384:MZX655385 NJL655384:NJT655385 NTH655384:NTP655385 ODD655384:ODL655385 OMZ655384:ONH655385 OWV655384:OXD655385 PGR655384:PGZ655385 PQN655384:PQV655385 QAJ655384:QAR655385 QKF655384:QKN655385 QUB655384:QUJ655385 RDX655384:REF655385 RNT655384:ROB655385 RXP655384:RXX655385 SHL655384:SHT655385 SRH655384:SRP655385 TBD655384:TBL655385 TKZ655384:TLH655385 TUV655384:TVD655385 UER655384:UEZ655385 UON655384:UOV655385 UYJ655384:UYR655385 VIF655384:VIN655385 VSB655384:VSJ655385 WBX655384:WCF655385 WLT655384:WMB655385 WVP655384:WVX655385 H720920:P720921 JD720920:JL720921 SZ720920:TH720921 ACV720920:ADD720921 AMR720920:AMZ720921 AWN720920:AWV720921 BGJ720920:BGR720921 BQF720920:BQN720921 CAB720920:CAJ720921 CJX720920:CKF720921 CTT720920:CUB720921 DDP720920:DDX720921 DNL720920:DNT720921 DXH720920:DXP720921 EHD720920:EHL720921 EQZ720920:ERH720921 FAV720920:FBD720921 FKR720920:FKZ720921 FUN720920:FUV720921 GEJ720920:GER720921 GOF720920:GON720921 GYB720920:GYJ720921 HHX720920:HIF720921 HRT720920:HSB720921 IBP720920:IBX720921 ILL720920:ILT720921 IVH720920:IVP720921 JFD720920:JFL720921 JOZ720920:JPH720921 JYV720920:JZD720921 KIR720920:KIZ720921 KSN720920:KSV720921 LCJ720920:LCR720921 LMF720920:LMN720921 LWB720920:LWJ720921 MFX720920:MGF720921 MPT720920:MQB720921 MZP720920:MZX720921 NJL720920:NJT720921 NTH720920:NTP720921 ODD720920:ODL720921 OMZ720920:ONH720921 OWV720920:OXD720921 PGR720920:PGZ720921 PQN720920:PQV720921 QAJ720920:QAR720921 QKF720920:QKN720921 QUB720920:QUJ720921 RDX720920:REF720921 RNT720920:ROB720921 RXP720920:RXX720921 SHL720920:SHT720921 SRH720920:SRP720921 TBD720920:TBL720921 TKZ720920:TLH720921 TUV720920:TVD720921 UER720920:UEZ720921 UON720920:UOV720921 UYJ720920:UYR720921 VIF720920:VIN720921 VSB720920:VSJ720921 WBX720920:WCF720921 WLT720920:WMB720921 WVP720920:WVX720921 H786456:P786457 JD786456:JL786457 SZ786456:TH786457 ACV786456:ADD786457 AMR786456:AMZ786457 AWN786456:AWV786457 BGJ786456:BGR786457 BQF786456:BQN786457 CAB786456:CAJ786457 CJX786456:CKF786457 CTT786456:CUB786457 DDP786456:DDX786457 DNL786456:DNT786457 DXH786456:DXP786457 EHD786456:EHL786457 EQZ786456:ERH786457 FAV786456:FBD786457 FKR786456:FKZ786457 FUN786456:FUV786457 GEJ786456:GER786457 GOF786456:GON786457 GYB786456:GYJ786457 HHX786456:HIF786457 HRT786456:HSB786457 IBP786456:IBX786457 ILL786456:ILT786457 IVH786456:IVP786457 JFD786456:JFL786457 JOZ786456:JPH786457 JYV786456:JZD786457 KIR786456:KIZ786457 KSN786456:KSV786457 LCJ786456:LCR786457 LMF786456:LMN786457 LWB786456:LWJ786457 MFX786456:MGF786457 MPT786456:MQB786457 MZP786456:MZX786457 NJL786456:NJT786457 NTH786456:NTP786457 ODD786456:ODL786457 OMZ786456:ONH786457 OWV786456:OXD786457 PGR786456:PGZ786457 PQN786456:PQV786457 QAJ786456:QAR786457 QKF786456:QKN786457 QUB786456:QUJ786457 RDX786456:REF786457 RNT786456:ROB786457 RXP786456:RXX786457 SHL786456:SHT786457 SRH786456:SRP786457 TBD786456:TBL786457 TKZ786456:TLH786457 TUV786456:TVD786457 UER786456:UEZ786457 UON786456:UOV786457 UYJ786456:UYR786457 VIF786456:VIN786457 VSB786456:VSJ786457 WBX786456:WCF786457 WLT786456:WMB786457 WVP786456:WVX786457 H851992:P851993 JD851992:JL851993 SZ851992:TH851993 ACV851992:ADD851993 AMR851992:AMZ851993 AWN851992:AWV851993 BGJ851992:BGR851993 BQF851992:BQN851993 CAB851992:CAJ851993 CJX851992:CKF851993 CTT851992:CUB851993 DDP851992:DDX851993 DNL851992:DNT851993 DXH851992:DXP851993 EHD851992:EHL851993 EQZ851992:ERH851993 FAV851992:FBD851993 FKR851992:FKZ851993 FUN851992:FUV851993 GEJ851992:GER851993 GOF851992:GON851993 GYB851992:GYJ851993 HHX851992:HIF851993 HRT851992:HSB851993 IBP851992:IBX851993 ILL851992:ILT851993 IVH851992:IVP851993 JFD851992:JFL851993 JOZ851992:JPH851993 JYV851992:JZD851993 KIR851992:KIZ851993 KSN851992:KSV851993 LCJ851992:LCR851993 LMF851992:LMN851993 LWB851992:LWJ851993 MFX851992:MGF851993 MPT851992:MQB851993 MZP851992:MZX851993 NJL851992:NJT851993 NTH851992:NTP851993 ODD851992:ODL851993 OMZ851992:ONH851993 OWV851992:OXD851993 PGR851992:PGZ851993 PQN851992:PQV851993 QAJ851992:QAR851993 QKF851992:QKN851993 QUB851992:QUJ851993 RDX851992:REF851993 RNT851992:ROB851993 RXP851992:RXX851993 SHL851992:SHT851993 SRH851992:SRP851993 TBD851992:TBL851993 TKZ851992:TLH851993 TUV851992:TVD851993 UER851992:UEZ851993 UON851992:UOV851993 UYJ851992:UYR851993 VIF851992:VIN851993 VSB851992:VSJ851993 WBX851992:WCF851993 WLT851992:WMB851993 WVP851992:WVX851993 H917528:P917529 JD917528:JL917529 SZ917528:TH917529 ACV917528:ADD917529 AMR917528:AMZ917529 AWN917528:AWV917529 BGJ917528:BGR917529 BQF917528:BQN917529 CAB917528:CAJ917529 CJX917528:CKF917529 CTT917528:CUB917529 DDP917528:DDX917529 DNL917528:DNT917529 DXH917528:DXP917529 EHD917528:EHL917529 EQZ917528:ERH917529 FAV917528:FBD917529 FKR917528:FKZ917529 FUN917528:FUV917529 GEJ917528:GER917529 GOF917528:GON917529 GYB917528:GYJ917529 HHX917528:HIF917529 HRT917528:HSB917529 IBP917528:IBX917529 ILL917528:ILT917529 IVH917528:IVP917529 JFD917528:JFL917529 JOZ917528:JPH917529 JYV917528:JZD917529 KIR917528:KIZ917529 KSN917528:KSV917529 LCJ917528:LCR917529 LMF917528:LMN917529 LWB917528:LWJ917529 MFX917528:MGF917529 MPT917528:MQB917529 MZP917528:MZX917529 NJL917528:NJT917529 NTH917528:NTP917529 ODD917528:ODL917529 OMZ917528:ONH917529 OWV917528:OXD917529 PGR917528:PGZ917529 PQN917528:PQV917529 QAJ917528:QAR917529 QKF917528:QKN917529 QUB917528:QUJ917529 RDX917528:REF917529 RNT917528:ROB917529 RXP917528:RXX917529 SHL917528:SHT917529 SRH917528:SRP917529 TBD917528:TBL917529 TKZ917528:TLH917529 TUV917528:TVD917529 UER917528:UEZ917529 UON917528:UOV917529 UYJ917528:UYR917529 VIF917528:VIN917529 VSB917528:VSJ917529 WBX917528:WCF917529 WLT917528:WMB917529 WVP917528:WVX917529 H983064:P983065 JD983064:JL983065 SZ983064:TH983065 ACV983064:ADD983065 AMR983064:AMZ983065 AWN983064:AWV983065 BGJ983064:BGR983065 BQF983064:BQN983065 CAB983064:CAJ983065 CJX983064:CKF983065 CTT983064:CUB983065 DDP983064:DDX983065 DNL983064:DNT983065 DXH983064:DXP983065 EHD983064:EHL983065 EQZ983064:ERH983065 FAV983064:FBD983065 FKR983064:FKZ983065 FUN983064:FUV983065 GEJ983064:GER983065 GOF983064:GON983065 GYB983064:GYJ983065 HHX983064:HIF983065 HRT983064:HSB983065 IBP983064:IBX983065 ILL983064:ILT983065 IVH983064:IVP983065 JFD983064:JFL983065 JOZ983064:JPH983065 JYV983064:JZD983065 KIR983064:KIZ983065 KSN983064:KSV983065 LCJ983064:LCR983065 LMF983064:LMN983065 LWB983064:LWJ983065 MFX983064:MGF983065 MPT983064:MQB983065 MZP983064:MZX983065 NJL983064:NJT983065 NTH983064:NTP983065 ODD983064:ODL983065 OMZ983064:ONH983065 OWV983064:OXD983065 PGR983064:PGZ983065 PQN983064:PQV983065 QAJ983064:QAR983065 QKF983064:QKN983065 QUB983064:QUJ983065 RDX983064:REF983065 RNT983064:ROB983065 RXP983064:RXX983065 SHL983064:SHT983065 SRH983064:SRP983065 TBD983064:TBL983065 TKZ983064:TLH983065 TUV983064:TVD983065 UER983064:UEZ983065 UON983064:UOV983065 UYJ983064:UYR983065 VIF983064:VIN983065 VSB983064:VSJ983065 WBX983064:WCF983065 WLT983064:WMB983065 WVP983064:WVX983065 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G65582:G65585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G131118:G131121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G196654:G196657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G262190:G262193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G327726:G327729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G393262:G393265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G458798:G458801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G524334:G524337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G589870:G589873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G655406:G655409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G720942:G720945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G786478:G786481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G852014:G852017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G917550:G917553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G983086:G983089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G64:P65 JC64:JL65 SY64:TH65 ACU64:ADD65 AMQ64:AMZ65 AWM64:AWV65 BGI64:BGR65 BQE64:BQN65 CAA64:CAJ65 CJW64:CKF65 CTS64:CUB65 DDO64:DDX65 DNK64:DNT65 DXG64:DXP65 EHC64:EHL65 EQY64:ERH65 FAU64:FBD65 FKQ64:FKZ65 FUM64:FUV65 GEI64:GER65 GOE64:GON65 GYA64:GYJ65 HHW64:HIF65 HRS64:HSB65 IBO64:IBX65 ILK64:ILT65 IVG64:IVP65 JFC64:JFL65 JOY64:JPH65 JYU64:JZD65 KIQ64:KIZ65 KSM64:KSV65 LCI64:LCR65 LME64:LMN65 LWA64:LWJ65 MFW64:MGF65 MPS64:MQB65 MZO64:MZX65 NJK64:NJT65 NTG64:NTP65 ODC64:ODL65 OMY64:ONH65 OWU64:OXD65 PGQ64:PGZ65 PQM64:PQV65 QAI64:QAR65 QKE64:QKN65 QUA64:QUJ65 RDW64:REF65 RNS64:ROB65 RXO64:RXX65 SHK64:SHT65 SRG64:SRP65 TBC64:TBL65 TKY64:TLH65 TUU64:TVD65 UEQ64:UEZ65 UOM64:UOV65 UYI64:UYR65 VIE64:VIN65 VSA64:VSJ65 WBW64:WCF65 WLS64:WMB65 WVO64:WVX65 G65600:P65601 JC65600:JL65601 SY65600:TH65601 ACU65600:ADD65601 AMQ65600:AMZ65601 AWM65600:AWV65601 BGI65600:BGR65601 BQE65600:BQN65601 CAA65600:CAJ65601 CJW65600:CKF65601 CTS65600:CUB65601 DDO65600:DDX65601 DNK65600:DNT65601 DXG65600:DXP65601 EHC65600:EHL65601 EQY65600:ERH65601 FAU65600:FBD65601 FKQ65600:FKZ65601 FUM65600:FUV65601 GEI65600:GER65601 GOE65600:GON65601 GYA65600:GYJ65601 HHW65600:HIF65601 HRS65600:HSB65601 IBO65600:IBX65601 ILK65600:ILT65601 IVG65600:IVP65601 JFC65600:JFL65601 JOY65600:JPH65601 JYU65600:JZD65601 KIQ65600:KIZ65601 KSM65600:KSV65601 LCI65600:LCR65601 LME65600:LMN65601 LWA65600:LWJ65601 MFW65600:MGF65601 MPS65600:MQB65601 MZO65600:MZX65601 NJK65600:NJT65601 NTG65600:NTP65601 ODC65600:ODL65601 OMY65600:ONH65601 OWU65600:OXD65601 PGQ65600:PGZ65601 PQM65600:PQV65601 QAI65600:QAR65601 QKE65600:QKN65601 QUA65600:QUJ65601 RDW65600:REF65601 RNS65600:ROB65601 RXO65600:RXX65601 SHK65600:SHT65601 SRG65600:SRP65601 TBC65600:TBL65601 TKY65600:TLH65601 TUU65600:TVD65601 UEQ65600:UEZ65601 UOM65600:UOV65601 UYI65600:UYR65601 VIE65600:VIN65601 VSA65600:VSJ65601 WBW65600:WCF65601 WLS65600:WMB65601 WVO65600:WVX65601 G131136:P131137 JC131136:JL131137 SY131136:TH131137 ACU131136:ADD131137 AMQ131136:AMZ131137 AWM131136:AWV131137 BGI131136:BGR131137 BQE131136:BQN131137 CAA131136:CAJ131137 CJW131136:CKF131137 CTS131136:CUB131137 DDO131136:DDX131137 DNK131136:DNT131137 DXG131136:DXP131137 EHC131136:EHL131137 EQY131136:ERH131137 FAU131136:FBD131137 FKQ131136:FKZ131137 FUM131136:FUV131137 GEI131136:GER131137 GOE131136:GON131137 GYA131136:GYJ131137 HHW131136:HIF131137 HRS131136:HSB131137 IBO131136:IBX131137 ILK131136:ILT131137 IVG131136:IVP131137 JFC131136:JFL131137 JOY131136:JPH131137 JYU131136:JZD131137 KIQ131136:KIZ131137 KSM131136:KSV131137 LCI131136:LCR131137 LME131136:LMN131137 LWA131136:LWJ131137 MFW131136:MGF131137 MPS131136:MQB131137 MZO131136:MZX131137 NJK131136:NJT131137 NTG131136:NTP131137 ODC131136:ODL131137 OMY131136:ONH131137 OWU131136:OXD131137 PGQ131136:PGZ131137 PQM131136:PQV131137 QAI131136:QAR131137 QKE131136:QKN131137 QUA131136:QUJ131137 RDW131136:REF131137 RNS131136:ROB131137 RXO131136:RXX131137 SHK131136:SHT131137 SRG131136:SRP131137 TBC131136:TBL131137 TKY131136:TLH131137 TUU131136:TVD131137 UEQ131136:UEZ131137 UOM131136:UOV131137 UYI131136:UYR131137 VIE131136:VIN131137 VSA131136:VSJ131137 WBW131136:WCF131137 WLS131136:WMB131137 WVO131136:WVX131137 G196672:P196673 JC196672:JL196673 SY196672:TH196673 ACU196672:ADD196673 AMQ196672:AMZ196673 AWM196672:AWV196673 BGI196672:BGR196673 BQE196672:BQN196673 CAA196672:CAJ196673 CJW196672:CKF196673 CTS196672:CUB196673 DDO196672:DDX196673 DNK196672:DNT196673 DXG196672:DXP196673 EHC196672:EHL196673 EQY196672:ERH196673 FAU196672:FBD196673 FKQ196672:FKZ196673 FUM196672:FUV196673 GEI196672:GER196673 GOE196672:GON196673 GYA196672:GYJ196673 HHW196672:HIF196673 HRS196672:HSB196673 IBO196672:IBX196673 ILK196672:ILT196673 IVG196672:IVP196673 JFC196672:JFL196673 JOY196672:JPH196673 JYU196672:JZD196673 KIQ196672:KIZ196673 KSM196672:KSV196673 LCI196672:LCR196673 LME196672:LMN196673 LWA196672:LWJ196673 MFW196672:MGF196673 MPS196672:MQB196673 MZO196672:MZX196673 NJK196672:NJT196673 NTG196672:NTP196673 ODC196672:ODL196673 OMY196672:ONH196673 OWU196672:OXD196673 PGQ196672:PGZ196673 PQM196672:PQV196673 QAI196672:QAR196673 QKE196672:QKN196673 QUA196672:QUJ196673 RDW196672:REF196673 RNS196672:ROB196673 RXO196672:RXX196673 SHK196672:SHT196673 SRG196672:SRP196673 TBC196672:TBL196673 TKY196672:TLH196673 TUU196672:TVD196673 UEQ196672:UEZ196673 UOM196672:UOV196673 UYI196672:UYR196673 VIE196672:VIN196673 VSA196672:VSJ196673 WBW196672:WCF196673 WLS196672:WMB196673 WVO196672:WVX196673 G262208:P262209 JC262208:JL262209 SY262208:TH262209 ACU262208:ADD262209 AMQ262208:AMZ262209 AWM262208:AWV262209 BGI262208:BGR262209 BQE262208:BQN262209 CAA262208:CAJ262209 CJW262208:CKF262209 CTS262208:CUB262209 DDO262208:DDX262209 DNK262208:DNT262209 DXG262208:DXP262209 EHC262208:EHL262209 EQY262208:ERH262209 FAU262208:FBD262209 FKQ262208:FKZ262209 FUM262208:FUV262209 GEI262208:GER262209 GOE262208:GON262209 GYA262208:GYJ262209 HHW262208:HIF262209 HRS262208:HSB262209 IBO262208:IBX262209 ILK262208:ILT262209 IVG262208:IVP262209 JFC262208:JFL262209 JOY262208:JPH262209 JYU262208:JZD262209 KIQ262208:KIZ262209 KSM262208:KSV262209 LCI262208:LCR262209 LME262208:LMN262209 LWA262208:LWJ262209 MFW262208:MGF262209 MPS262208:MQB262209 MZO262208:MZX262209 NJK262208:NJT262209 NTG262208:NTP262209 ODC262208:ODL262209 OMY262208:ONH262209 OWU262208:OXD262209 PGQ262208:PGZ262209 PQM262208:PQV262209 QAI262208:QAR262209 QKE262208:QKN262209 QUA262208:QUJ262209 RDW262208:REF262209 RNS262208:ROB262209 RXO262208:RXX262209 SHK262208:SHT262209 SRG262208:SRP262209 TBC262208:TBL262209 TKY262208:TLH262209 TUU262208:TVD262209 UEQ262208:UEZ262209 UOM262208:UOV262209 UYI262208:UYR262209 VIE262208:VIN262209 VSA262208:VSJ262209 WBW262208:WCF262209 WLS262208:WMB262209 WVO262208:WVX262209 G327744:P327745 JC327744:JL327745 SY327744:TH327745 ACU327744:ADD327745 AMQ327744:AMZ327745 AWM327744:AWV327745 BGI327744:BGR327745 BQE327744:BQN327745 CAA327744:CAJ327745 CJW327744:CKF327745 CTS327744:CUB327745 DDO327744:DDX327745 DNK327744:DNT327745 DXG327744:DXP327745 EHC327744:EHL327745 EQY327744:ERH327745 FAU327744:FBD327745 FKQ327744:FKZ327745 FUM327744:FUV327745 GEI327744:GER327745 GOE327744:GON327745 GYA327744:GYJ327745 HHW327744:HIF327745 HRS327744:HSB327745 IBO327744:IBX327745 ILK327744:ILT327745 IVG327744:IVP327745 JFC327744:JFL327745 JOY327744:JPH327745 JYU327744:JZD327745 KIQ327744:KIZ327745 KSM327744:KSV327745 LCI327744:LCR327745 LME327744:LMN327745 LWA327744:LWJ327745 MFW327744:MGF327745 MPS327744:MQB327745 MZO327744:MZX327745 NJK327744:NJT327745 NTG327744:NTP327745 ODC327744:ODL327745 OMY327744:ONH327745 OWU327744:OXD327745 PGQ327744:PGZ327745 PQM327744:PQV327745 QAI327744:QAR327745 QKE327744:QKN327745 QUA327744:QUJ327745 RDW327744:REF327745 RNS327744:ROB327745 RXO327744:RXX327745 SHK327744:SHT327745 SRG327744:SRP327745 TBC327744:TBL327745 TKY327744:TLH327745 TUU327744:TVD327745 UEQ327744:UEZ327745 UOM327744:UOV327745 UYI327744:UYR327745 VIE327744:VIN327745 VSA327744:VSJ327745 WBW327744:WCF327745 WLS327744:WMB327745 WVO327744:WVX327745 G393280:P393281 JC393280:JL393281 SY393280:TH393281 ACU393280:ADD393281 AMQ393280:AMZ393281 AWM393280:AWV393281 BGI393280:BGR393281 BQE393280:BQN393281 CAA393280:CAJ393281 CJW393280:CKF393281 CTS393280:CUB393281 DDO393280:DDX393281 DNK393280:DNT393281 DXG393280:DXP393281 EHC393280:EHL393281 EQY393280:ERH393281 FAU393280:FBD393281 FKQ393280:FKZ393281 FUM393280:FUV393281 GEI393280:GER393281 GOE393280:GON393281 GYA393280:GYJ393281 HHW393280:HIF393281 HRS393280:HSB393281 IBO393280:IBX393281 ILK393280:ILT393281 IVG393280:IVP393281 JFC393280:JFL393281 JOY393280:JPH393281 JYU393280:JZD393281 KIQ393280:KIZ393281 KSM393280:KSV393281 LCI393280:LCR393281 LME393280:LMN393281 LWA393280:LWJ393281 MFW393280:MGF393281 MPS393280:MQB393281 MZO393280:MZX393281 NJK393280:NJT393281 NTG393280:NTP393281 ODC393280:ODL393281 OMY393280:ONH393281 OWU393280:OXD393281 PGQ393280:PGZ393281 PQM393280:PQV393281 QAI393280:QAR393281 QKE393280:QKN393281 QUA393280:QUJ393281 RDW393280:REF393281 RNS393280:ROB393281 RXO393280:RXX393281 SHK393280:SHT393281 SRG393280:SRP393281 TBC393280:TBL393281 TKY393280:TLH393281 TUU393280:TVD393281 UEQ393280:UEZ393281 UOM393280:UOV393281 UYI393280:UYR393281 VIE393280:VIN393281 VSA393280:VSJ393281 WBW393280:WCF393281 WLS393280:WMB393281 WVO393280:WVX393281 G458816:P458817 JC458816:JL458817 SY458816:TH458817 ACU458816:ADD458817 AMQ458816:AMZ458817 AWM458816:AWV458817 BGI458816:BGR458817 BQE458816:BQN458817 CAA458816:CAJ458817 CJW458816:CKF458817 CTS458816:CUB458817 DDO458816:DDX458817 DNK458816:DNT458817 DXG458816:DXP458817 EHC458816:EHL458817 EQY458816:ERH458817 FAU458816:FBD458817 FKQ458816:FKZ458817 FUM458816:FUV458817 GEI458816:GER458817 GOE458816:GON458817 GYA458816:GYJ458817 HHW458816:HIF458817 HRS458816:HSB458817 IBO458816:IBX458817 ILK458816:ILT458817 IVG458816:IVP458817 JFC458816:JFL458817 JOY458816:JPH458817 JYU458816:JZD458817 KIQ458816:KIZ458817 KSM458816:KSV458817 LCI458816:LCR458817 LME458816:LMN458817 LWA458816:LWJ458817 MFW458816:MGF458817 MPS458816:MQB458817 MZO458816:MZX458817 NJK458816:NJT458817 NTG458816:NTP458817 ODC458816:ODL458817 OMY458816:ONH458817 OWU458816:OXD458817 PGQ458816:PGZ458817 PQM458816:PQV458817 QAI458816:QAR458817 QKE458816:QKN458817 QUA458816:QUJ458817 RDW458816:REF458817 RNS458816:ROB458817 RXO458816:RXX458817 SHK458816:SHT458817 SRG458816:SRP458817 TBC458816:TBL458817 TKY458816:TLH458817 TUU458816:TVD458817 UEQ458816:UEZ458817 UOM458816:UOV458817 UYI458816:UYR458817 VIE458816:VIN458817 VSA458816:VSJ458817 WBW458816:WCF458817 WLS458816:WMB458817 WVO458816:WVX458817 G524352:P524353 JC524352:JL524353 SY524352:TH524353 ACU524352:ADD524353 AMQ524352:AMZ524353 AWM524352:AWV524353 BGI524352:BGR524353 BQE524352:BQN524353 CAA524352:CAJ524353 CJW524352:CKF524353 CTS524352:CUB524353 DDO524352:DDX524353 DNK524352:DNT524353 DXG524352:DXP524353 EHC524352:EHL524353 EQY524352:ERH524353 FAU524352:FBD524353 FKQ524352:FKZ524353 FUM524352:FUV524353 GEI524352:GER524353 GOE524352:GON524353 GYA524352:GYJ524353 HHW524352:HIF524353 HRS524352:HSB524353 IBO524352:IBX524353 ILK524352:ILT524353 IVG524352:IVP524353 JFC524352:JFL524353 JOY524352:JPH524353 JYU524352:JZD524353 KIQ524352:KIZ524353 KSM524352:KSV524353 LCI524352:LCR524353 LME524352:LMN524353 LWA524352:LWJ524353 MFW524352:MGF524353 MPS524352:MQB524353 MZO524352:MZX524353 NJK524352:NJT524353 NTG524352:NTP524353 ODC524352:ODL524353 OMY524352:ONH524353 OWU524352:OXD524353 PGQ524352:PGZ524353 PQM524352:PQV524353 QAI524352:QAR524353 QKE524352:QKN524353 QUA524352:QUJ524353 RDW524352:REF524353 RNS524352:ROB524353 RXO524352:RXX524353 SHK524352:SHT524353 SRG524352:SRP524353 TBC524352:TBL524353 TKY524352:TLH524353 TUU524352:TVD524353 UEQ524352:UEZ524353 UOM524352:UOV524353 UYI524352:UYR524353 VIE524352:VIN524353 VSA524352:VSJ524353 WBW524352:WCF524353 WLS524352:WMB524353 WVO524352:WVX524353 G589888:P589889 JC589888:JL589889 SY589888:TH589889 ACU589888:ADD589889 AMQ589888:AMZ589889 AWM589888:AWV589889 BGI589888:BGR589889 BQE589888:BQN589889 CAA589888:CAJ589889 CJW589888:CKF589889 CTS589888:CUB589889 DDO589888:DDX589889 DNK589888:DNT589889 DXG589888:DXP589889 EHC589888:EHL589889 EQY589888:ERH589889 FAU589888:FBD589889 FKQ589888:FKZ589889 FUM589888:FUV589889 GEI589888:GER589889 GOE589888:GON589889 GYA589888:GYJ589889 HHW589888:HIF589889 HRS589888:HSB589889 IBO589888:IBX589889 ILK589888:ILT589889 IVG589888:IVP589889 JFC589888:JFL589889 JOY589888:JPH589889 JYU589888:JZD589889 KIQ589888:KIZ589889 KSM589888:KSV589889 LCI589888:LCR589889 LME589888:LMN589889 LWA589888:LWJ589889 MFW589888:MGF589889 MPS589888:MQB589889 MZO589888:MZX589889 NJK589888:NJT589889 NTG589888:NTP589889 ODC589888:ODL589889 OMY589888:ONH589889 OWU589888:OXD589889 PGQ589888:PGZ589889 PQM589888:PQV589889 QAI589888:QAR589889 QKE589888:QKN589889 QUA589888:QUJ589889 RDW589888:REF589889 RNS589888:ROB589889 RXO589888:RXX589889 SHK589888:SHT589889 SRG589888:SRP589889 TBC589888:TBL589889 TKY589888:TLH589889 TUU589888:TVD589889 UEQ589888:UEZ589889 UOM589888:UOV589889 UYI589888:UYR589889 VIE589888:VIN589889 VSA589888:VSJ589889 WBW589888:WCF589889 WLS589888:WMB589889 WVO589888:WVX589889 G655424:P655425 JC655424:JL655425 SY655424:TH655425 ACU655424:ADD655425 AMQ655424:AMZ655425 AWM655424:AWV655425 BGI655424:BGR655425 BQE655424:BQN655425 CAA655424:CAJ655425 CJW655424:CKF655425 CTS655424:CUB655425 DDO655424:DDX655425 DNK655424:DNT655425 DXG655424:DXP655425 EHC655424:EHL655425 EQY655424:ERH655425 FAU655424:FBD655425 FKQ655424:FKZ655425 FUM655424:FUV655425 GEI655424:GER655425 GOE655424:GON655425 GYA655424:GYJ655425 HHW655424:HIF655425 HRS655424:HSB655425 IBO655424:IBX655425 ILK655424:ILT655425 IVG655424:IVP655425 JFC655424:JFL655425 JOY655424:JPH655425 JYU655424:JZD655425 KIQ655424:KIZ655425 KSM655424:KSV655425 LCI655424:LCR655425 LME655424:LMN655425 LWA655424:LWJ655425 MFW655424:MGF655425 MPS655424:MQB655425 MZO655424:MZX655425 NJK655424:NJT655425 NTG655424:NTP655425 ODC655424:ODL655425 OMY655424:ONH655425 OWU655424:OXD655425 PGQ655424:PGZ655425 PQM655424:PQV655425 QAI655424:QAR655425 QKE655424:QKN655425 QUA655424:QUJ655425 RDW655424:REF655425 RNS655424:ROB655425 RXO655424:RXX655425 SHK655424:SHT655425 SRG655424:SRP655425 TBC655424:TBL655425 TKY655424:TLH655425 TUU655424:TVD655425 UEQ655424:UEZ655425 UOM655424:UOV655425 UYI655424:UYR655425 VIE655424:VIN655425 VSA655424:VSJ655425 WBW655424:WCF655425 WLS655424:WMB655425 WVO655424:WVX655425 G720960:P720961 JC720960:JL720961 SY720960:TH720961 ACU720960:ADD720961 AMQ720960:AMZ720961 AWM720960:AWV720961 BGI720960:BGR720961 BQE720960:BQN720961 CAA720960:CAJ720961 CJW720960:CKF720961 CTS720960:CUB720961 DDO720960:DDX720961 DNK720960:DNT720961 DXG720960:DXP720961 EHC720960:EHL720961 EQY720960:ERH720961 FAU720960:FBD720961 FKQ720960:FKZ720961 FUM720960:FUV720961 GEI720960:GER720961 GOE720960:GON720961 GYA720960:GYJ720961 HHW720960:HIF720961 HRS720960:HSB720961 IBO720960:IBX720961 ILK720960:ILT720961 IVG720960:IVP720961 JFC720960:JFL720961 JOY720960:JPH720961 JYU720960:JZD720961 KIQ720960:KIZ720961 KSM720960:KSV720961 LCI720960:LCR720961 LME720960:LMN720961 LWA720960:LWJ720961 MFW720960:MGF720961 MPS720960:MQB720961 MZO720960:MZX720961 NJK720960:NJT720961 NTG720960:NTP720961 ODC720960:ODL720961 OMY720960:ONH720961 OWU720960:OXD720961 PGQ720960:PGZ720961 PQM720960:PQV720961 QAI720960:QAR720961 QKE720960:QKN720961 QUA720960:QUJ720961 RDW720960:REF720961 RNS720960:ROB720961 RXO720960:RXX720961 SHK720960:SHT720961 SRG720960:SRP720961 TBC720960:TBL720961 TKY720960:TLH720961 TUU720960:TVD720961 UEQ720960:UEZ720961 UOM720960:UOV720961 UYI720960:UYR720961 VIE720960:VIN720961 VSA720960:VSJ720961 WBW720960:WCF720961 WLS720960:WMB720961 WVO720960:WVX720961 G786496:P786497 JC786496:JL786497 SY786496:TH786497 ACU786496:ADD786497 AMQ786496:AMZ786497 AWM786496:AWV786497 BGI786496:BGR786497 BQE786496:BQN786497 CAA786496:CAJ786497 CJW786496:CKF786497 CTS786496:CUB786497 DDO786496:DDX786497 DNK786496:DNT786497 DXG786496:DXP786497 EHC786496:EHL786497 EQY786496:ERH786497 FAU786496:FBD786497 FKQ786496:FKZ786497 FUM786496:FUV786497 GEI786496:GER786497 GOE786496:GON786497 GYA786496:GYJ786497 HHW786496:HIF786497 HRS786496:HSB786497 IBO786496:IBX786497 ILK786496:ILT786497 IVG786496:IVP786497 JFC786496:JFL786497 JOY786496:JPH786497 JYU786496:JZD786497 KIQ786496:KIZ786497 KSM786496:KSV786497 LCI786496:LCR786497 LME786496:LMN786497 LWA786496:LWJ786497 MFW786496:MGF786497 MPS786496:MQB786497 MZO786496:MZX786497 NJK786496:NJT786497 NTG786496:NTP786497 ODC786496:ODL786497 OMY786496:ONH786497 OWU786496:OXD786497 PGQ786496:PGZ786497 PQM786496:PQV786497 QAI786496:QAR786497 QKE786496:QKN786497 QUA786496:QUJ786497 RDW786496:REF786497 RNS786496:ROB786497 RXO786496:RXX786497 SHK786496:SHT786497 SRG786496:SRP786497 TBC786496:TBL786497 TKY786496:TLH786497 TUU786496:TVD786497 UEQ786496:UEZ786497 UOM786496:UOV786497 UYI786496:UYR786497 VIE786496:VIN786497 VSA786496:VSJ786497 WBW786496:WCF786497 WLS786496:WMB786497 WVO786496:WVX786497 G852032:P852033 JC852032:JL852033 SY852032:TH852033 ACU852032:ADD852033 AMQ852032:AMZ852033 AWM852032:AWV852033 BGI852032:BGR852033 BQE852032:BQN852033 CAA852032:CAJ852033 CJW852032:CKF852033 CTS852032:CUB852033 DDO852032:DDX852033 DNK852032:DNT852033 DXG852032:DXP852033 EHC852032:EHL852033 EQY852032:ERH852033 FAU852032:FBD852033 FKQ852032:FKZ852033 FUM852032:FUV852033 GEI852032:GER852033 GOE852032:GON852033 GYA852032:GYJ852033 HHW852032:HIF852033 HRS852032:HSB852033 IBO852032:IBX852033 ILK852032:ILT852033 IVG852032:IVP852033 JFC852032:JFL852033 JOY852032:JPH852033 JYU852032:JZD852033 KIQ852032:KIZ852033 KSM852032:KSV852033 LCI852032:LCR852033 LME852032:LMN852033 LWA852032:LWJ852033 MFW852032:MGF852033 MPS852032:MQB852033 MZO852032:MZX852033 NJK852032:NJT852033 NTG852032:NTP852033 ODC852032:ODL852033 OMY852032:ONH852033 OWU852032:OXD852033 PGQ852032:PGZ852033 PQM852032:PQV852033 QAI852032:QAR852033 QKE852032:QKN852033 QUA852032:QUJ852033 RDW852032:REF852033 RNS852032:ROB852033 RXO852032:RXX852033 SHK852032:SHT852033 SRG852032:SRP852033 TBC852032:TBL852033 TKY852032:TLH852033 TUU852032:TVD852033 UEQ852032:UEZ852033 UOM852032:UOV852033 UYI852032:UYR852033 VIE852032:VIN852033 VSA852032:VSJ852033 WBW852032:WCF852033 WLS852032:WMB852033 WVO852032:WVX852033 G917568:P917569 JC917568:JL917569 SY917568:TH917569 ACU917568:ADD917569 AMQ917568:AMZ917569 AWM917568:AWV917569 BGI917568:BGR917569 BQE917568:BQN917569 CAA917568:CAJ917569 CJW917568:CKF917569 CTS917568:CUB917569 DDO917568:DDX917569 DNK917568:DNT917569 DXG917568:DXP917569 EHC917568:EHL917569 EQY917568:ERH917569 FAU917568:FBD917569 FKQ917568:FKZ917569 FUM917568:FUV917569 GEI917568:GER917569 GOE917568:GON917569 GYA917568:GYJ917569 HHW917568:HIF917569 HRS917568:HSB917569 IBO917568:IBX917569 ILK917568:ILT917569 IVG917568:IVP917569 JFC917568:JFL917569 JOY917568:JPH917569 JYU917568:JZD917569 KIQ917568:KIZ917569 KSM917568:KSV917569 LCI917568:LCR917569 LME917568:LMN917569 LWA917568:LWJ917569 MFW917568:MGF917569 MPS917568:MQB917569 MZO917568:MZX917569 NJK917568:NJT917569 NTG917568:NTP917569 ODC917568:ODL917569 OMY917568:ONH917569 OWU917568:OXD917569 PGQ917568:PGZ917569 PQM917568:PQV917569 QAI917568:QAR917569 QKE917568:QKN917569 QUA917568:QUJ917569 RDW917568:REF917569 RNS917568:ROB917569 RXO917568:RXX917569 SHK917568:SHT917569 SRG917568:SRP917569 TBC917568:TBL917569 TKY917568:TLH917569 TUU917568:TVD917569 UEQ917568:UEZ917569 UOM917568:UOV917569 UYI917568:UYR917569 VIE917568:VIN917569 VSA917568:VSJ917569 WBW917568:WCF917569 WLS917568:WMB917569 WVO917568:WVX917569 G983104:P983105 JC983104:JL983105 SY983104:TH983105 ACU983104:ADD983105 AMQ983104:AMZ983105 AWM983104:AWV983105 BGI983104:BGR983105 BQE983104:BQN983105 CAA983104:CAJ983105 CJW983104:CKF983105 CTS983104:CUB983105 DDO983104:DDX983105 DNK983104:DNT983105 DXG983104:DXP983105 EHC983104:EHL983105 EQY983104:ERH983105 FAU983104:FBD983105 FKQ983104:FKZ983105 FUM983104:FUV983105 GEI983104:GER983105 GOE983104:GON983105 GYA983104:GYJ983105 HHW983104:HIF983105 HRS983104:HSB983105 IBO983104:IBX983105 ILK983104:ILT983105 IVG983104:IVP983105 JFC983104:JFL983105 JOY983104:JPH983105 JYU983104:JZD983105 KIQ983104:KIZ983105 KSM983104:KSV983105 LCI983104:LCR983105 LME983104:LMN983105 LWA983104:LWJ983105 MFW983104:MGF983105 MPS983104:MQB983105 MZO983104:MZX983105 NJK983104:NJT983105 NTG983104:NTP983105 ODC983104:ODL983105 OMY983104:ONH983105 OWU983104:OXD983105 PGQ983104:PGZ983105 PQM983104:PQV983105 QAI983104:QAR983105 QKE983104:QKN983105 QUA983104:QUJ983105 RDW983104:REF983105 RNS983104:ROB983105 RXO983104:RXX983105 SHK983104:SHT983105 SRG983104:SRP983105 TBC983104:TBL983105 TKY983104:TLH983105 TUU983104:TVD983105 UEQ983104:UEZ983105 UOM983104:UOV983105 UYI983104:UYR983105 VIE983104:VIN983105 VSA983104:VSJ983105 WBW983104:WCF983105 WLS983104:WMB983105 WVO983104:WVX983105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G94 JC94 SY94 ACU94 AMQ94 AWM94 BGI94 BQE94 CAA94 CJW94 CTS94 DDO94 DNK94 DXG94 EHC94 EQY94 FAU94 FKQ94 FUM94 GEI94 GOE94 GYA94 HHW94 HRS94 IBO94 ILK94 IVG94 JFC94 JOY94 JYU94 KIQ94 KSM94 LCI94 LME94 LWA94 MFW94 MPS94 MZO94 NJK94 NTG94 ODC94 OMY94 OWU94 PGQ94 PQM94 QAI94 QKE94 QUA94 RDW94 RNS94 RXO94 SHK94 SRG94 TBC94 TKY94 TUU94 UEQ94 UOM94 UYI94 VIE94 VSA94 WBW94 WLS94 WVO94 G65630 JC65630 SY65630 ACU65630 AMQ65630 AWM65630 BGI65630 BQE65630 CAA65630 CJW65630 CTS65630 DDO65630 DNK65630 DXG65630 EHC65630 EQY65630 FAU65630 FKQ65630 FUM65630 GEI65630 GOE65630 GYA65630 HHW65630 HRS65630 IBO65630 ILK65630 IVG65630 JFC65630 JOY65630 JYU65630 KIQ65630 KSM65630 LCI65630 LME65630 LWA65630 MFW65630 MPS65630 MZO65630 NJK65630 NTG65630 ODC65630 OMY65630 OWU65630 PGQ65630 PQM65630 QAI65630 QKE65630 QUA65630 RDW65630 RNS65630 RXO65630 SHK65630 SRG65630 TBC65630 TKY65630 TUU65630 UEQ65630 UOM65630 UYI65630 VIE65630 VSA65630 WBW65630 WLS65630 WVO65630 G131166 JC131166 SY131166 ACU131166 AMQ131166 AWM131166 BGI131166 BQE131166 CAA131166 CJW131166 CTS131166 DDO131166 DNK131166 DXG131166 EHC131166 EQY131166 FAU131166 FKQ131166 FUM131166 GEI131166 GOE131166 GYA131166 HHW131166 HRS131166 IBO131166 ILK131166 IVG131166 JFC131166 JOY131166 JYU131166 KIQ131166 KSM131166 LCI131166 LME131166 LWA131166 MFW131166 MPS131166 MZO131166 NJK131166 NTG131166 ODC131166 OMY131166 OWU131166 PGQ131166 PQM131166 QAI131166 QKE131166 QUA131166 RDW131166 RNS131166 RXO131166 SHK131166 SRG131166 TBC131166 TKY131166 TUU131166 UEQ131166 UOM131166 UYI131166 VIE131166 VSA131166 WBW131166 WLS131166 WVO131166 G196702 JC196702 SY196702 ACU196702 AMQ196702 AWM196702 BGI196702 BQE196702 CAA196702 CJW196702 CTS196702 DDO196702 DNK196702 DXG196702 EHC196702 EQY196702 FAU196702 FKQ196702 FUM196702 GEI196702 GOE196702 GYA196702 HHW196702 HRS196702 IBO196702 ILK196702 IVG196702 JFC196702 JOY196702 JYU196702 KIQ196702 KSM196702 LCI196702 LME196702 LWA196702 MFW196702 MPS196702 MZO196702 NJK196702 NTG196702 ODC196702 OMY196702 OWU196702 PGQ196702 PQM196702 QAI196702 QKE196702 QUA196702 RDW196702 RNS196702 RXO196702 SHK196702 SRG196702 TBC196702 TKY196702 TUU196702 UEQ196702 UOM196702 UYI196702 VIE196702 VSA196702 WBW196702 WLS196702 WVO196702 G262238 JC262238 SY262238 ACU262238 AMQ262238 AWM262238 BGI262238 BQE262238 CAA262238 CJW262238 CTS262238 DDO262238 DNK262238 DXG262238 EHC262238 EQY262238 FAU262238 FKQ262238 FUM262238 GEI262238 GOE262238 GYA262238 HHW262238 HRS262238 IBO262238 ILK262238 IVG262238 JFC262238 JOY262238 JYU262238 KIQ262238 KSM262238 LCI262238 LME262238 LWA262238 MFW262238 MPS262238 MZO262238 NJK262238 NTG262238 ODC262238 OMY262238 OWU262238 PGQ262238 PQM262238 QAI262238 QKE262238 QUA262238 RDW262238 RNS262238 RXO262238 SHK262238 SRG262238 TBC262238 TKY262238 TUU262238 UEQ262238 UOM262238 UYI262238 VIE262238 VSA262238 WBW262238 WLS262238 WVO262238 G327774 JC327774 SY327774 ACU327774 AMQ327774 AWM327774 BGI327774 BQE327774 CAA327774 CJW327774 CTS327774 DDO327774 DNK327774 DXG327774 EHC327774 EQY327774 FAU327774 FKQ327774 FUM327774 GEI327774 GOE327774 GYA327774 HHW327774 HRS327774 IBO327774 ILK327774 IVG327774 JFC327774 JOY327774 JYU327774 KIQ327774 KSM327774 LCI327774 LME327774 LWA327774 MFW327774 MPS327774 MZO327774 NJK327774 NTG327774 ODC327774 OMY327774 OWU327774 PGQ327774 PQM327774 QAI327774 QKE327774 QUA327774 RDW327774 RNS327774 RXO327774 SHK327774 SRG327774 TBC327774 TKY327774 TUU327774 UEQ327774 UOM327774 UYI327774 VIE327774 VSA327774 WBW327774 WLS327774 WVO327774 G393310 JC393310 SY393310 ACU393310 AMQ393310 AWM393310 BGI393310 BQE393310 CAA393310 CJW393310 CTS393310 DDO393310 DNK393310 DXG393310 EHC393310 EQY393310 FAU393310 FKQ393310 FUM393310 GEI393310 GOE393310 GYA393310 HHW393310 HRS393310 IBO393310 ILK393310 IVG393310 JFC393310 JOY393310 JYU393310 KIQ393310 KSM393310 LCI393310 LME393310 LWA393310 MFW393310 MPS393310 MZO393310 NJK393310 NTG393310 ODC393310 OMY393310 OWU393310 PGQ393310 PQM393310 QAI393310 QKE393310 QUA393310 RDW393310 RNS393310 RXO393310 SHK393310 SRG393310 TBC393310 TKY393310 TUU393310 UEQ393310 UOM393310 UYI393310 VIE393310 VSA393310 WBW393310 WLS393310 WVO393310 G458846 JC458846 SY458846 ACU458846 AMQ458846 AWM458846 BGI458846 BQE458846 CAA458846 CJW458846 CTS458846 DDO458846 DNK458846 DXG458846 EHC458846 EQY458846 FAU458846 FKQ458846 FUM458846 GEI458846 GOE458846 GYA458846 HHW458846 HRS458846 IBO458846 ILK458846 IVG458846 JFC458846 JOY458846 JYU458846 KIQ458846 KSM458846 LCI458846 LME458846 LWA458846 MFW458846 MPS458846 MZO458846 NJK458846 NTG458846 ODC458846 OMY458846 OWU458846 PGQ458846 PQM458846 QAI458846 QKE458846 QUA458846 RDW458846 RNS458846 RXO458846 SHK458846 SRG458846 TBC458846 TKY458846 TUU458846 UEQ458846 UOM458846 UYI458846 VIE458846 VSA458846 WBW458846 WLS458846 WVO458846 G524382 JC524382 SY524382 ACU524382 AMQ524382 AWM524382 BGI524382 BQE524382 CAA524382 CJW524382 CTS524382 DDO524382 DNK524382 DXG524382 EHC524382 EQY524382 FAU524382 FKQ524382 FUM524382 GEI524382 GOE524382 GYA524382 HHW524382 HRS524382 IBO524382 ILK524382 IVG524382 JFC524382 JOY524382 JYU524382 KIQ524382 KSM524382 LCI524382 LME524382 LWA524382 MFW524382 MPS524382 MZO524382 NJK524382 NTG524382 ODC524382 OMY524382 OWU524382 PGQ524382 PQM524382 QAI524382 QKE524382 QUA524382 RDW524382 RNS524382 RXO524382 SHK524382 SRG524382 TBC524382 TKY524382 TUU524382 UEQ524382 UOM524382 UYI524382 VIE524382 VSA524382 WBW524382 WLS524382 WVO524382 G589918 JC589918 SY589918 ACU589918 AMQ589918 AWM589918 BGI589918 BQE589918 CAA589918 CJW589918 CTS589918 DDO589918 DNK589918 DXG589918 EHC589918 EQY589918 FAU589918 FKQ589918 FUM589918 GEI589918 GOE589918 GYA589918 HHW589918 HRS589918 IBO589918 ILK589918 IVG589918 JFC589918 JOY589918 JYU589918 KIQ589918 KSM589918 LCI589918 LME589918 LWA589918 MFW589918 MPS589918 MZO589918 NJK589918 NTG589918 ODC589918 OMY589918 OWU589918 PGQ589918 PQM589918 QAI589918 QKE589918 QUA589918 RDW589918 RNS589918 RXO589918 SHK589918 SRG589918 TBC589918 TKY589918 TUU589918 UEQ589918 UOM589918 UYI589918 VIE589918 VSA589918 WBW589918 WLS589918 WVO589918 G655454 JC655454 SY655454 ACU655454 AMQ655454 AWM655454 BGI655454 BQE655454 CAA655454 CJW655454 CTS655454 DDO655454 DNK655454 DXG655454 EHC655454 EQY655454 FAU655454 FKQ655454 FUM655454 GEI655454 GOE655454 GYA655454 HHW655454 HRS655454 IBO655454 ILK655454 IVG655454 JFC655454 JOY655454 JYU655454 KIQ655454 KSM655454 LCI655454 LME655454 LWA655454 MFW655454 MPS655454 MZO655454 NJK655454 NTG655454 ODC655454 OMY655454 OWU655454 PGQ655454 PQM655454 QAI655454 QKE655454 QUA655454 RDW655454 RNS655454 RXO655454 SHK655454 SRG655454 TBC655454 TKY655454 TUU655454 UEQ655454 UOM655454 UYI655454 VIE655454 VSA655454 WBW655454 WLS655454 WVO655454 G720990 JC720990 SY720990 ACU720990 AMQ720990 AWM720990 BGI720990 BQE720990 CAA720990 CJW720990 CTS720990 DDO720990 DNK720990 DXG720990 EHC720990 EQY720990 FAU720990 FKQ720990 FUM720990 GEI720990 GOE720990 GYA720990 HHW720990 HRS720990 IBO720990 ILK720990 IVG720990 JFC720990 JOY720990 JYU720990 KIQ720990 KSM720990 LCI720990 LME720990 LWA720990 MFW720990 MPS720990 MZO720990 NJK720990 NTG720990 ODC720990 OMY720990 OWU720990 PGQ720990 PQM720990 QAI720990 QKE720990 QUA720990 RDW720990 RNS720990 RXO720990 SHK720990 SRG720990 TBC720990 TKY720990 TUU720990 UEQ720990 UOM720990 UYI720990 VIE720990 VSA720990 WBW720990 WLS720990 WVO720990 G786526 JC786526 SY786526 ACU786526 AMQ786526 AWM786526 BGI786526 BQE786526 CAA786526 CJW786526 CTS786526 DDO786526 DNK786526 DXG786526 EHC786526 EQY786526 FAU786526 FKQ786526 FUM786526 GEI786526 GOE786526 GYA786526 HHW786526 HRS786526 IBO786526 ILK786526 IVG786526 JFC786526 JOY786526 JYU786526 KIQ786526 KSM786526 LCI786526 LME786526 LWA786526 MFW786526 MPS786526 MZO786526 NJK786526 NTG786526 ODC786526 OMY786526 OWU786526 PGQ786526 PQM786526 QAI786526 QKE786526 QUA786526 RDW786526 RNS786526 RXO786526 SHK786526 SRG786526 TBC786526 TKY786526 TUU786526 UEQ786526 UOM786526 UYI786526 VIE786526 VSA786526 WBW786526 WLS786526 WVO786526 G852062 JC852062 SY852062 ACU852062 AMQ852062 AWM852062 BGI852062 BQE852062 CAA852062 CJW852062 CTS852062 DDO852062 DNK852062 DXG852062 EHC852062 EQY852062 FAU852062 FKQ852062 FUM852062 GEI852062 GOE852062 GYA852062 HHW852062 HRS852062 IBO852062 ILK852062 IVG852062 JFC852062 JOY852062 JYU852062 KIQ852062 KSM852062 LCI852062 LME852062 LWA852062 MFW852062 MPS852062 MZO852062 NJK852062 NTG852062 ODC852062 OMY852062 OWU852062 PGQ852062 PQM852062 QAI852062 QKE852062 QUA852062 RDW852062 RNS852062 RXO852062 SHK852062 SRG852062 TBC852062 TKY852062 TUU852062 UEQ852062 UOM852062 UYI852062 VIE852062 VSA852062 WBW852062 WLS852062 WVO852062 G917598 JC917598 SY917598 ACU917598 AMQ917598 AWM917598 BGI917598 BQE917598 CAA917598 CJW917598 CTS917598 DDO917598 DNK917598 DXG917598 EHC917598 EQY917598 FAU917598 FKQ917598 FUM917598 GEI917598 GOE917598 GYA917598 HHW917598 HRS917598 IBO917598 ILK917598 IVG917598 JFC917598 JOY917598 JYU917598 KIQ917598 KSM917598 LCI917598 LME917598 LWA917598 MFW917598 MPS917598 MZO917598 NJK917598 NTG917598 ODC917598 OMY917598 OWU917598 PGQ917598 PQM917598 QAI917598 QKE917598 QUA917598 RDW917598 RNS917598 RXO917598 SHK917598 SRG917598 TBC917598 TKY917598 TUU917598 UEQ917598 UOM917598 UYI917598 VIE917598 VSA917598 WBW917598 WLS917598 WVO917598 G983134 JC983134 SY983134 ACU983134 AMQ983134 AWM983134 BGI983134 BQE983134 CAA983134 CJW983134 CTS983134 DDO983134 DNK983134 DXG983134 EHC983134 EQY983134 FAU983134 FKQ983134 FUM983134 GEI983134 GOE983134 GYA983134 HHW983134 HRS983134 IBO983134 ILK983134 IVG983134 JFC983134 JOY983134 JYU983134 KIQ983134 KSM983134 LCI983134 LME983134 LWA983134 MFW983134 MPS983134 MZO983134 NJK983134 NTG983134 ODC983134 OMY983134 OWU983134 PGQ983134 PQM983134 QAI983134 QKE983134 QUA983134 RDW983134 RNS983134 RXO983134 SHK983134 SRG983134 TBC983134 TKY983134 TUU983134 UEQ983134 UOM983134 UYI983134 VIE983134 VSA983134 WBW983134 WLS983134 WVO983134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G65654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G131190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G196726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G262262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G327798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G393334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G458870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G524406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G589942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G655478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G721014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G786550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G852086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G917622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G983158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G23:G25 JC23:JC25 SY23:SY25 ACU23:ACU25 AMQ23:AMQ25 AWM23:AWM25 BGI23:BGI25 BQE23:BQE25 CAA23:CAA25 CJW23:CJW25 CTS23:CTS25 DDO23:DDO25 DNK23:DNK25 DXG23:DXG25 EHC23:EHC25 EQY23:EQY25 FAU23:FAU25 FKQ23:FKQ25 FUM23:FUM25 GEI23:GEI25 GOE23:GOE25 GYA23:GYA25 HHW23:HHW25 HRS23:HRS25 IBO23:IBO25 ILK23:ILK25 IVG23:IVG25 JFC23:JFC25 JOY23:JOY25 JYU23:JYU25 KIQ23:KIQ25 KSM23:KSM25 LCI23:LCI25 LME23:LME25 LWA23:LWA25 MFW23:MFW25 MPS23:MPS25 MZO23:MZO25 NJK23:NJK25 NTG23:NTG25 ODC23:ODC25 OMY23:OMY25 OWU23:OWU25 PGQ23:PGQ25 PQM23:PQM25 QAI23:QAI25 QKE23:QKE25 QUA23:QUA25 RDW23:RDW25 RNS23:RNS25 RXO23:RXO25 SHK23:SHK25 SRG23:SRG25 TBC23:TBC25 TKY23:TKY25 TUU23:TUU25 UEQ23:UEQ25 UOM23:UOM25 UYI23:UYI25 VIE23:VIE25 VSA23:VSA25 WBW23:WBW25 WLS23:WLS25 WVO23:WVO25 G65559:G65561 JC65559:JC65561 SY65559:SY65561 ACU65559:ACU65561 AMQ65559:AMQ65561 AWM65559:AWM65561 BGI65559:BGI65561 BQE65559:BQE65561 CAA65559:CAA65561 CJW65559:CJW65561 CTS65559:CTS65561 DDO65559:DDO65561 DNK65559:DNK65561 DXG65559:DXG65561 EHC65559:EHC65561 EQY65559:EQY65561 FAU65559:FAU65561 FKQ65559:FKQ65561 FUM65559:FUM65561 GEI65559:GEI65561 GOE65559:GOE65561 GYA65559:GYA65561 HHW65559:HHW65561 HRS65559:HRS65561 IBO65559:IBO65561 ILK65559:ILK65561 IVG65559:IVG65561 JFC65559:JFC65561 JOY65559:JOY65561 JYU65559:JYU65561 KIQ65559:KIQ65561 KSM65559:KSM65561 LCI65559:LCI65561 LME65559:LME65561 LWA65559:LWA65561 MFW65559:MFW65561 MPS65559:MPS65561 MZO65559:MZO65561 NJK65559:NJK65561 NTG65559:NTG65561 ODC65559:ODC65561 OMY65559:OMY65561 OWU65559:OWU65561 PGQ65559:PGQ65561 PQM65559:PQM65561 QAI65559:QAI65561 QKE65559:QKE65561 QUA65559:QUA65561 RDW65559:RDW65561 RNS65559:RNS65561 RXO65559:RXO65561 SHK65559:SHK65561 SRG65559:SRG65561 TBC65559:TBC65561 TKY65559:TKY65561 TUU65559:TUU65561 UEQ65559:UEQ65561 UOM65559:UOM65561 UYI65559:UYI65561 VIE65559:VIE65561 VSA65559:VSA65561 WBW65559:WBW65561 WLS65559:WLS65561 WVO65559:WVO65561 G131095:G131097 JC131095:JC131097 SY131095:SY131097 ACU131095:ACU131097 AMQ131095:AMQ131097 AWM131095:AWM131097 BGI131095:BGI131097 BQE131095:BQE131097 CAA131095:CAA131097 CJW131095:CJW131097 CTS131095:CTS131097 DDO131095:DDO131097 DNK131095:DNK131097 DXG131095:DXG131097 EHC131095:EHC131097 EQY131095:EQY131097 FAU131095:FAU131097 FKQ131095:FKQ131097 FUM131095:FUM131097 GEI131095:GEI131097 GOE131095:GOE131097 GYA131095:GYA131097 HHW131095:HHW131097 HRS131095:HRS131097 IBO131095:IBO131097 ILK131095:ILK131097 IVG131095:IVG131097 JFC131095:JFC131097 JOY131095:JOY131097 JYU131095:JYU131097 KIQ131095:KIQ131097 KSM131095:KSM131097 LCI131095:LCI131097 LME131095:LME131097 LWA131095:LWA131097 MFW131095:MFW131097 MPS131095:MPS131097 MZO131095:MZO131097 NJK131095:NJK131097 NTG131095:NTG131097 ODC131095:ODC131097 OMY131095:OMY131097 OWU131095:OWU131097 PGQ131095:PGQ131097 PQM131095:PQM131097 QAI131095:QAI131097 QKE131095:QKE131097 QUA131095:QUA131097 RDW131095:RDW131097 RNS131095:RNS131097 RXO131095:RXO131097 SHK131095:SHK131097 SRG131095:SRG131097 TBC131095:TBC131097 TKY131095:TKY131097 TUU131095:TUU131097 UEQ131095:UEQ131097 UOM131095:UOM131097 UYI131095:UYI131097 VIE131095:VIE131097 VSA131095:VSA131097 WBW131095:WBW131097 WLS131095:WLS131097 WVO131095:WVO131097 G196631:G196633 JC196631:JC196633 SY196631:SY196633 ACU196631:ACU196633 AMQ196631:AMQ196633 AWM196631:AWM196633 BGI196631:BGI196633 BQE196631:BQE196633 CAA196631:CAA196633 CJW196631:CJW196633 CTS196631:CTS196633 DDO196631:DDO196633 DNK196631:DNK196633 DXG196631:DXG196633 EHC196631:EHC196633 EQY196631:EQY196633 FAU196631:FAU196633 FKQ196631:FKQ196633 FUM196631:FUM196633 GEI196631:GEI196633 GOE196631:GOE196633 GYA196631:GYA196633 HHW196631:HHW196633 HRS196631:HRS196633 IBO196631:IBO196633 ILK196631:ILK196633 IVG196631:IVG196633 JFC196631:JFC196633 JOY196631:JOY196633 JYU196631:JYU196633 KIQ196631:KIQ196633 KSM196631:KSM196633 LCI196631:LCI196633 LME196631:LME196633 LWA196631:LWA196633 MFW196631:MFW196633 MPS196631:MPS196633 MZO196631:MZO196633 NJK196631:NJK196633 NTG196631:NTG196633 ODC196631:ODC196633 OMY196631:OMY196633 OWU196631:OWU196633 PGQ196631:PGQ196633 PQM196631:PQM196633 QAI196631:QAI196633 QKE196631:QKE196633 QUA196631:QUA196633 RDW196631:RDW196633 RNS196631:RNS196633 RXO196631:RXO196633 SHK196631:SHK196633 SRG196631:SRG196633 TBC196631:TBC196633 TKY196631:TKY196633 TUU196631:TUU196633 UEQ196631:UEQ196633 UOM196631:UOM196633 UYI196631:UYI196633 VIE196631:VIE196633 VSA196631:VSA196633 WBW196631:WBW196633 WLS196631:WLS196633 WVO196631:WVO196633 G262167:G262169 JC262167:JC262169 SY262167:SY262169 ACU262167:ACU262169 AMQ262167:AMQ262169 AWM262167:AWM262169 BGI262167:BGI262169 BQE262167:BQE262169 CAA262167:CAA262169 CJW262167:CJW262169 CTS262167:CTS262169 DDO262167:DDO262169 DNK262167:DNK262169 DXG262167:DXG262169 EHC262167:EHC262169 EQY262167:EQY262169 FAU262167:FAU262169 FKQ262167:FKQ262169 FUM262167:FUM262169 GEI262167:GEI262169 GOE262167:GOE262169 GYA262167:GYA262169 HHW262167:HHW262169 HRS262167:HRS262169 IBO262167:IBO262169 ILK262167:ILK262169 IVG262167:IVG262169 JFC262167:JFC262169 JOY262167:JOY262169 JYU262167:JYU262169 KIQ262167:KIQ262169 KSM262167:KSM262169 LCI262167:LCI262169 LME262167:LME262169 LWA262167:LWA262169 MFW262167:MFW262169 MPS262167:MPS262169 MZO262167:MZO262169 NJK262167:NJK262169 NTG262167:NTG262169 ODC262167:ODC262169 OMY262167:OMY262169 OWU262167:OWU262169 PGQ262167:PGQ262169 PQM262167:PQM262169 QAI262167:QAI262169 QKE262167:QKE262169 QUA262167:QUA262169 RDW262167:RDW262169 RNS262167:RNS262169 RXO262167:RXO262169 SHK262167:SHK262169 SRG262167:SRG262169 TBC262167:TBC262169 TKY262167:TKY262169 TUU262167:TUU262169 UEQ262167:UEQ262169 UOM262167:UOM262169 UYI262167:UYI262169 VIE262167:VIE262169 VSA262167:VSA262169 WBW262167:WBW262169 WLS262167:WLS262169 WVO262167:WVO262169 G327703:G327705 JC327703:JC327705 SY327703:SY327705 ACU327703:ACU327705 AMQ327703:AMQ327705 AWM327703:AWM327705 BGI327703:BGI327705 BQE327703:BQE327705 CAA327703:CAA327705 CJW327703:CJW327705 CTS327703:CTS327705 DDO327703:DDO327705 DNK327703:DNK327705 DXG327703:DXG327705 EHC327703:EHC327705 EQY327703:EQY327705 FAU327703:FAU327705 FKQ327703:FKQ327705 FUM327703:FUM327705 GEI327703:GEI327705 GOE327703:GOE327705 GYA327703:GYA327705 HHW327703:HHW327705 HRS327703:HRS327705 IBO327703:IBO327705 ILK327703:ILK327705 IVG327703:IVG327705 JFC327703:JFC327705 JOY327703:JOY327705 JYU327703:JYU327705 KIQ327703:KIQ327705 KSM327703:KSM327705 LCI327703:LCI327705 LME327703:LME327705 LWA327703:LWA327705 MFW327703:MFW327705 MPS327703:MPS327705 MZO327703:MZO327705 NJK327703:NJK327705 NTG327703:NTG327705 ODC327703:ODC327705 OMY327703:OMY327705 OWU327703:OWU327705 PGQ327703:PGQ327705 PQM327703:PQM327705 QAI327703:QAI327705 QKE327703:QKE327705 QUA327703:QUA327705 RDW327703:RDW327705 RNS327703:RNS327705 RXO327703:RXO327705 SHK327703:SHK327705 SRG327703:SRG327705 TBC327703:TBC327705 TKY327703:TKY327705 TUU327703:TUU327705 UEQ327703:UEQ327705 UOM327703:UOM327705 UYI327703:UYI327705 VIE327703:VIE327705 VSA327703:VSA327705 WBW327703:WBW327705 WLS327703:WLS327705 WVO327703:WVO327705 G393239:G393241 JC393239:JC393241 SY393239:SY393241 ACU393239:ACU393241 AMQ393239:AMQ393241 AWM393239:AWM393241 BGI393239:BGI393241 BQE393239:BQE393241 CAA393239:CAA393241 CJW393239:CJW393241 CTS393239:CTS393241 DDO393239:DDO393241 DNK393239:DNK393241 DXG393239:DXG393241 EHC393239:EHC393241 EQY393239:EQY393241 FAU393239:FAU393241 FKQ393239:FKQ393241 FUM393239:FUM393241 GEI393239:GEI393241 GOE393239:GOE393241 GYA393239:GYA393241 HHW393239:HHW393241 HRS393239:HRS393241 IBO393239:IBO393241 ILK393239:ILK393241 IVG393239:IVG393241 JFC393239:JFC393241 JOY393239:JOY393241 JYU393239:JYU393241 KIQ393239:KIQ393241 KSM393239:KSM393241 LCI393239:LCI393241 LME393239:LME393241 LWA393239:LWA393241 MFW393239:MFW393241 MPS393239:MPS393241 MZO393239:MZO393241 NJK393239:NJK393241 NTG393239:NTG393241 ODC393239:ODC393241 OMY393239:OMY393241 OWU393239:OWU393241 PGQ393239:PGQ393241 PQM393239:PQM393241 QAI393239:QAI393241 QKE393239:QKE393241 QUA393239:QUA393241 RDW393239:RDW393241 RNS393239:RNS393241 RXO393239:RXO393241 SHK393239:SHK393241 SRG393239:SRG393241 TBC393239:TBC393241 TKY393239:TKY393241 TUU393239:TUU393241 UEQ393239:UEQ393241 UOM393239:UOM393241 UYI393239:UYI393241 VIE393239:VIE393241 VSA393239:VSA393241 WBW393239:WBW393241 WLS393239:WLS393241 WVO393239:WVO393241 G458775:G458777 JC458775:JC458777 SY458775:SY458777 ACU458775:ACU458777 AMQ458775:AMQ458777 AWM458775:AWM458777 BGI458775:BGI458777 BQE458775:BQE458777 CAA458775:CAA458777 CJW458775:CJW458777 CTS458775:CTS458777 DDO458775:DDO458777 DNK458775:DNK458777 DXG458775:DXG458777 EHC458775:EHC458777 EQY458775:EQY458777 FAU458775:FAU458777 FKQ458775:FKQ458777 FUM458775:FUM458777 GEI458775:GEI458777 GOE458775:GOE458777 GYA458775:GYA458777 HHW458775:HHW458777 HRS458775:HRS458777 IBO458775:IBO458777 ILK458775:ILK458777 IVG458775:IVG458777 JFC458775:JFC458777 JOY458775:JOY458777 JYU458775:JYU458777 KIQ458775:KIQ458777 KSM458775:KSM458777 LCI458775:LCI458777 LME458775:LME458777 LWA458775:LWA458777 MFW458775:MFW458777 MPS458775:MPS458777 MZO458775:MZO458777 NJK458775:NJK458777 NTG458775:NTG458777 ODC458775:ODC458777 OMY458775:OMY458777 OWU458775:OWU458777 PGQ458775:PGQ458777 PQM458775:PQM458777 QAI458775:QAI458777 QKE458775:QKE458777 QUA458775:QUA458777 RDW458775:RDW458777 RNS458775:RNS458777 RXO458775:RXO458777 SHK458775:SHK458777 SRG458775:SRG458777 TBC458775:TBC458777 TKY458775:TKY458777 TUU458775:TUU458777 UEQ458775:UEQ458777 UOM458775:UOM458777 UYI458775:UYI458777 VIE458775:VIE458777 VSA458775:VSA458777 WBW458775:WBW458777 WLS458775:WLS458777 WVO458775:WVO458777 G524311:G524313 JC524311:JC524313 SY524311:SY524313 ACU524311:ACU524313 AMQ524311:AMQ524313 AWM524311:AWM524313 BGI524311:BGI524313 BQE524311:BQE524313 CAA524311:CAA524313 CJW524311:CJW524313 CTS524311:CTS524313 DDO524311:DDO524313 DNK524311:DNK524313 DXG524311:DXG524313 EHC524311:EHC524313 EQY524311:EQY524313 FAU524311:FAU524313 FKQ524311:FKQ524313 FUM524311:FUM524313 GEI524311:GEI524313 GOE524311:GOE524313 GYA524311:GYA524313 HHW524311:HHW524313 HRS524311:HRS524313 IBO524311:IBO524313 ILK524311:ILK524313 IVG524311:IVG524313 JFC524311:JFC524313 JOY524311:JOY524313 JYU524311:JYU524313 KIQ524311:KIQ524313 KSM524311:KSM524313 LCI524311:LCI524313 LME524311:LME524313 LWA524311:LWA524313 MFW524311:MFW524313 MPS524311:MPS524313 MZO524311:MZO524313 NJK524311:NJK524313 NTG524311:NTG524313 ODC524311:ODC524313 OMY524311:OMY524313 OWU524311:OWU524313 PGQ524311:PGQ524313 PQM524311:PQM524313 QAI524311:QAI524313 QKE524311:QKE524313 QUA524311:QUA524313 RDW524311:RDW524313 RNS524311:RNS524313 RXO524311:RXO524313 SHK524311:SHK524313 SRG524311:SRG524313 TBC524311:TBC524313 TKY524311:TKY524313 TUU524311:TUU524313 UEQ524311:UEQ524313 UOM524311:UOM524313 UYI524311:UYI524313 VIE524311:VIE524313 VSA524311:VSA524313 WBW524311:WBW524313 WLS524311:WLS524313 WVO524311:WVO524313 G589847:G589849 JC589847:JC589849 SY589847:SY589849 ACU589847:ACU589849 AMQ589847:AMQ589849 AWM589847:AWM589849 BGI589847:BGI589849 BQE589847:BQE589849 CAA589847:CAA589849 CJW589847:CJW589849 CTS589847:CTS589849 DDO589847:DDO589849 DNK589847:DNK589849 DXG589847:DXG589849 EHC589847:EHC589849 EQY589847:EQY589849 FAU589847:FAU589849 FKQ589847:FKQ589849 FUM589847:FUM589849 GEI589847:GEI589849 GOE589847:GOE589849 GYA589847:GYA589849 HHW589847:HHW589849 HRS589847:HRS589849 IBO589847:IBO589849 ILK589847:ILK589849 IVG589847:IVG589849 JFC589847:JFC589849 JOY589847:JOY589849 JYU589847:JYU589849 KIQ589847:KIQ589849 KSM589847:KSM589849 LCI589847:LCI589849 LME589847:LME589849 LWA589847:LWA589849 MFW589847:MFW589849 MPS589847:MPS589849 MZO589847:MZO589849 NJK589847:NJK589849 NTG589847:NTG589849 ODC589847:ODC589849 OMY589847:OMY589849 OWU589847:OWU589849 PGQ589847:PGQ589849 PQM589847:PQM589849 QAI589847:QAI589849 QKE589847:QKE589849 QUA589847:QUA589849 RDW589847:RDW589849 RNS589847:RNS589849 RXO589847:RXO589849 SHK589847:SHK589849 SRG589847:SRG589849 TBC589847:TBC589849 TKY589847:TKY589849 TUU589847:TUU589849 UEQ589847:UEQ589849 UOM589847:UOM589849 UYI589847:UYI589849 VIE589847:VIE589849 VSA589847:VSA589849 WBW589847:WBW589849 WLS589847:WLS589849 WVO589847:WVO589849 G655383:G655385 JC655383:JC655385 SY655383:SY655385 ACU655383:ACU655385 AMQ655383:AMQ655385 AWM655383:AWM655385 BGI655383:BGI655385 BQE655383:BQE655385 CAA655383:CAA655385 CJW655383:CJW655385 CTS655383:CTS655385 DDO655383:DDO655385 DNK655383:DNK655385 DXG655383:DXG655385 EHC655383:EHC655385 EQY655383:EQY655385 FAU655383:FAU655385 FKQ655383:FKQ655385 FUM655383:FUM655385 GEI655383:GEI655385 GOE655383:GOE655385 GYA655383:GYA655385 HHW655383:HHW655385 HRS655383:HRS655385 IBO655383:IBO655385 ILK655383:ILK655385 IVG655383:IVG655385 JFC655383:JFC655385 JOY655383:JOY655385 JYU655383:JYU655385 KIQ655383:KIQ655385 KSM655383:KSM655385 LCI655383:LCI655385 LME655383:LME655385 LWA655383:LWA655385 MFW655383:MFW655385 MPS655383:MPS655385 MZO655383:MZO655385 NJK655383:NJK655385 NTG655383:NTG655385 ODC655383:ODC655385 OMY655383:OMY655385 OWU655383:OWU655385 PGQ655383:PGQ655385 PQM655383:PQM655385 QAI655383:QAI655385 QKE655383:QKE655385 QUA655383:QUA655385 RDW655383:RDW655385 RNS655383:RNS655385 RXO655383:RXO655385 SHK655383:SHK655385 SRG655383:SRG655385 TBC655383:TBC655385 TKY655383:TKY655385 TUU655383:TUU655385 UEQ655383:UEQ655385 UOM655383:UOM655385 UYI655383:UYI655385 VIE655383:VIE655385 VSA655383:VSA655385 WBW655383:WBW655385 WLS655383:WLS655385 WVO655383:WVO655385 G720919:G720921 JC720919:JC720921 SY720919:SY720921 ACU720919:ACU720921 AMQ720919:AMQ720921 AWM720919:AWM720921 BGI720919:BGI720921 BQE720919:BQE720921 CAA720919:CAA720921 CJW720919:CJW720921 CTS720919:CTS720921 DDO720919:DDO720921 DNK720919:DNK720921 DXG720919:DXG720921 EHC720919:EHC720921 EQY720919:EQY720921 FAU720919:FAU720921 FKQ720919:FKQ720921 FUM720919:FUM720921 GEI720919:GEI720921 GOE720919:GOE720921 GYA720919:GYA720921 HHW720919:HHW720921 HRS720919:HRS720921 IBO720919:IBO720921 ILK720919:ILK720921 IVG720919:IVG720921 JFC720919:JFC720921 JOY720919:JOY720921 JYU720919:JYU720921 KIQ720919:KIQ720921 KSM720919:KSM720921 LCI720919:LCI720921 LME720919:LME720921 LWA720919:LWA720921 MFW720919:MFW720921 MPS720919:MPS720921 MZO720919:MZO720921 NJK720919:NJK720921 NTG720919:NTG720921 ODC720919:ODC720921 OMY720919:OMY720921 OWU720919:OWU720921 PGQ720919:PGQ720921 PQM720919:PQM720921 QAI720919:QAI720921 QKE720919:QKE720921 QUA720919:QUA720921 RDW720919:RDW720921 RNS720919:RNS720921 RXO720919:RXO720921 SHK720919:SHK720921 SRG720919:SRG720921 TBC720919:TBC720921 TKY720919:TKY720921 TUU720919:TUU720921 UEQ720919:UEQ720921 UOM720919:UOM720921 UYI720919:UYI720921 VIE720919:VIE720921 VSA720919:VSA720921 WBW720919:WBW720921 WLS720919:WLS720921 WVO720919:WVO720921 G786455:G786457 JC786455:JC786457 SY786455:SY786457 ACU786455:ACU786457 AMQ786455:AMQ786457 AWM786455:AWM786457 BGI786455:BGI786457 BQE786455:BQE786457 CAA786455:CAA786457 CJW786455:CJW786457 CTS786455:CTS786457 DDO786455:DDO786457 DNK786455:DNK786457 DXG786455:DXG786457 EHC786455:EHC786457 EQY786455:EQY786457 FAU786455:FAU786457 FKQ786455:FKQ786457 FUM786455:FUM786457 GEI786455:GEI786457 GOE786455:GOE786457 GYA786455:GYA786457 HHW786455:HHW786457 HRS786455:HRS786457 IBO786455:IBO786457 ILK786455:ILK786457 IVG786455:IVG786457 JFC786455:JFC786457 JOY786455:JOY786457 JYU786455:JYU786457 KIQ786455:KIQ786457 KSM786455:KSM786457 LCI786455:LCI786457 LME786455:LME786457 LWA786455:LWA786457 MFW786455:MFW786457 MPS786455:MPS786457 MZO786455:MZO786457 NJK786455:NJK786457 NTG786455:NTG786457 ODC786455:ODC786457 OMY786455:OMY786457 OWU786455:OWU786457 PGQ786455:PGQ786457 PQM786455:PQM786457 QAI786455:QAI786457 QKE786455:QKE786457 QUA786455:QUA786457 RDW786455:RDW786457 RNS786455:RNS786457 RXO786455:RXO786457 SHK786455:SHK786457 SRG786455:SRG786457 TBC786455:TBC786457 TKY786455:TKY786457 TUU786455:TUU786457 UEQ786455:UEQ786457 UOM786455:UOM786457 UYI786455:UYI786457 VIE786455:VIE786457 VSA786455:VSA786457 WBW786455:WBW786457 WLS786455:WLS786457 WVO786455:WVO786457 G851991:G851993 JC851991:JC851993 SY851991:SY851993 ACU851991:ACU851993 AMQ851991:AMQ851993 AWM851991:AWM851993 BGI851991:BGI851993 BQE851991:BQE851993 CAA851991:CAA851993 CJW851991:CJW851993 CTS851991:CTS851993 DDO851991:DDO851993 DNK851991:DNK851993 DXG851991:DXG851993 EHC851991:EHC851993 EQY851991:EQY851993 FAU851991:FAU851993 FKQ851991:FKQ851993 FUM851991:FUM851993 GEI851991:GEI851993 GOE851991:GOE851993 GYA851991:GYA851993 HHW851991:HHW851993 HRS851991:HRS851993 IBO851991:IBO851993 ILK851991:ILK851993 IVG851991:IVG851993 JFC851991:JFC851993 JOY851991:JOY851993 JYU851991:JYU851993 KIQ851991:KIQ851993 KSM851991:KSM851993 LCI851991:LCI851993 LME851991:LME851993 LWA851991:LWA851993 MFW851991:MFW851993 MPS851991:MPS851993 MZO851991:MZO851993 NJK851991:NJK851993 NTG851991:NTG851993 ODC851991:ODC851993 OMY851991:OMY851993 OWU851991:OWU851993 PGQ851991:PGQ851993 PQM851991:PQM851993 QAI851991:QAI851993 QKE851991:QKE851993 QUA851991:QUA851993 RDW851991:RDW851993 RNS851991:RNS851993 RXO851991:RXO851993 SHK851991:SHK851993 SRG851991:SRG851993 TBC851991:TBC851993 TKY851991:TKY851993 TUU851991:TUU851993 UEQ851991:UEQ851993 UOM851991:UOM851993 UYI851991:UYI851993 VIE851991:VIE851993 VSA851991:VSA851993 WBW851991:WBW851993 WLS851991:WLS851993 WVO851991:WVO851993 G917527:G917529 JC917527:JC917529 SY917527:SY917529 ACU917527:ACU917529 AMQ917527:AMQ917529 AWM917527:AWM917529 BGI917527:BGI917529 BQE917527:BQE917529 CAA917527:CAA917529 CJW917527:CJW917529 CTS917527:CTS917529 DDO917527:DDO917529 DNK917527:DNK917529 DXG917527:DXG917529 EHC917527:EHC917529 EQY917527:EQY917529 FAU917527:FAU917529 FKQ917527:FKQ917529 FUM917527:FUM917529 GEI917527:GEI917529 GOE917527:GOE917529 GYA917527:GYA917529 HHW917527:HHW917529 HRS917527:HRS917529 IBO917527:IBO917529 ILK917527:ILK917529 IVG917527:IVG917529 JFC917527:JFC917529 JOY917527:JOY917529 JYU917527:JYU917529 KIQ917527:KIQ917529 KSM917527:KSM917529 LCI917527:LCI917529 LME917527:LME917529 LWA917527:LWA917529 MFW917527:MFW917529 MPS917527:MPS917529 MZO917527:MZO917529 NJK917527:NJK917529 NTG917527:NTG917529 ODC917527:ODC917529 OMY917527:OMY917529 OWU917527:OWU917529 PGQ917527:PGQ917529 PQM917527:PQM917529 QAI917527:QAI917529 QKE917527:QKE917529 QUA917527:QUA917529 RDW917527:RDW917529 RNS917527:RNS917529 RXO917527:RXO917529 SHK917527:SHK917529 SRG917527:SRG917529 TBC917527:TBC917529 TKY917527:TKY917529 TUU917527:TUU917529 UEQ917527:UEQ917529 UOM917527:UOM917529 UYI917527:UYI917529 VIE917527:VIE917529 VSA917527:VSA917529 WBW917527:WBW917529 WLS917527:WLS917529 WVO917527:WVO917529 G983063:G983065 JC983063:JC983065 SY983063:SY983065 ACU983063:ACU983065 AMQ983063:AMQ983065 AWM983063:AWM983065 BGI983063:BGI983065 BQE983063:BQE983065 CAA983063:CAA983065 CJW983063:CJW983065 CTS983063:CTS983065 DDO983063:DDO983065 DNK983063:DNK983065 DXG983063:DXG983065 EHC983063:EHC983065 EQY983063:EQY983065 FAU983063:FAU983065 FKQ983063:FKQ983065 FUM983063:FUM983065 GEI983063:GEI983065 GOE983063:GOE983065 GYA983063:GYA983065 HHW983063:HHW983065 HRS983063:HRS983065 IBO983063:IBO983065 ILK983063:ILK983065 IVG983063:IVG983065 JFC983063:JFC983065 JOY983063:JOY983065 JYU983063:JYU983065 KIQ983063:KIQ983065 KSM983063:KSM983065 LCI983063:LCI983065 LME983063:LME983065 LWA983063:LWA983065 MFW983063:MFW983065 MPS983063:MPS983065 MZO983063:MZO983065 NJK983063:NJK983065 NTG983063:NTG983065 ODC983063:ODC983065 OMY983063:OMY983065 OWU983063:OWU983065 PGQ983063:PGQ983065 PQM983063:PQM983065 QAI983063:QAI983065 QKE983063:QKE983065 QUA983063:QUA983065 RDW983063:RDW983065 RNS983063:RNS983065 RXO983063:RXO983065 SHK983063:SHK983065 SRG983063:SRG983065 TBC983063:TBC983065 TKY983063:TKY983065 TUU983063:TUU983065 UEQ983063:UEQ983065 UOM983063:UOM983065 UYI983063:UYI983065 VIE983063:VIE983065 VSA983063:VSA983065 WBW983063:WBW983065 WLS983063:WLS983065 WVO983063:WVO983065 H47:O49 JD47:JK49 SZ47:TG49 ACV47:ADC49 AMR47:AMY49 AWN47:AWU49 BGJ47:BGQ49 BQF47:BQM49 CAB47:CAI49 CJX47:CKE49 CTT47:CUA49 DDP47:DDW49 DNL47:DNS49 DXH47:DXO49 EHD47:EHK49 EQZ47:ERG49 FAV47:FBC49 FKR47:FKY49 FUN47:FUU49 GEJ47:GEQ49 GOF47:GOM49 GYB47:GYI49 HHX47:HIE49 HRT47:HSA49 IBP47:IBW49 ILL47:ILS49 IVH47:IVO49 JFD47:JFK49 JOZ47:JPG49 JYV47:JZC49 KIR47:KIY49 KSN47:KSU49 LCJ47:LCQ49 LMF47:LMM49 LWB47:LWI49 MFX47:MGE49 MPT47:MQA49 MZP47:MZW49 NJL47:NJS49 NTH47:NTO49 ODD47:ODK49 OMZ47:ONG49 OWV47:OXC49 PGR47:PGY49 PQN47:PQU49 QAJ47:QAQ49 QKF47:QKM49 QUB47:QUI49 RDX47:REE49 RNT47:ROA49 RXP47:RXW49 SHL47:SHS49 SRH47:SRO49 TBD47:TBK49 TKZ47:TLG49 TUV47:TVC49 UER47:UEY49 UON47:UOU49 UYJ47:UYQ49 VIF47:VIM49 VSB47:VSI49 WBX47:WCE49 WLT47:WMA49 WVP47:WVW49 H65583:O65585 JD65583:JK65585 SZ65583:TG65585 ACV65583:ADC65585 AMR65583:AMY65585 AWN65583:AWU65585 BGJ65583:BGQ65585 BQF65583:BQM65585 CAB65583:CAI65585 CJX65583:CKE65585 CTT65583:CUA65585 DDP65583:DDW65585 DNL65583:DNS65585 DXH65583:DXO65585 EHD65583:EHK65585 EQZ65583:ERG65585 FAV65583:FBC65585 FKR65583:FKY65585 FUN65583:FUU65585 GEJ65583:GEQ65585 GOF65583:GOM65585 GYB65583:GYI65585 HHX65583:HIE65585 HRT65583:HSA65585 IBP65583:IBW65585 ILL65583:ILS65585 IVH65583:IVO65585 JFD65583:JFK65585 JOZ65583:JPG65585 JYV65583:JZC65585 KIR65583:KIY65585 KSN65583:KSU65585 LCJ65583:LCQ65585 LMF65583:LMM65585 LWB65583:LWI65585 MFX65583:MGE65585 MPT65583:MQA65585 MZP65583:MZW65585 NJL65583:NJS65585 NTH65583:NTO65585 ODD65583:ODK65585 OMZ65583:ONG65585 OWV65583:OXC65585 PGR65583:PGY65585 PQN65583:PQU65585 QAJ65583:QAQ65585 QKF65583:QKM65585 QUB65583:QUI65585 RDX65583:REE65585 RNT65583:ROA65585 RXP65583:RXW65585 SHL65583:SHS65585 SRH65583:SRO65585 TBD65583:TBK65585 TKZ65583:TLG65585 TUV65583:TVC65585 UER65583:UEY65585 UON65583:UOU65585 UYJ65583:UYQ65585 VIF65583:VIM65585 VSB65583:VSI65585 WBX65583:WCE65585 WLT65583:WMA65585 WVP65583:WVW65585 H131119:O131121 JD131119:JK131121 SZ131119:TG131121 ACV131119:ADC131121 AMR131119:AMY131121 AWN131119:AWU131121 BGJ131119:BGQ131121 BQF131119:BQM131121 CAB131119:CAI131121 CJX131119:CKE131121 CTT131119:CUA131121 DDP131119:DDW131121 DNL131119:DNS131121 DXH131119:DXO131121 EHD131119:EHK131121 EQZ131119:ERG131121 FAV131119:FBC131121 FKR131119:FKY131121 FUN131119:FUU131121 GEJ131119:GEQ131121 GOF131119:GOM131121 GYB131119:GYI131121 HHX131119:HIE131121 HRT131119:HSA131121 IBP131119:IBW131121 ILL131119:ILS131121 IVH131119:IVO131121 JFD131119:JFK131121 JOZ131119:JPG131121 JYV131119:JZC131121 KIR131119:KIY131121 KSN131119:KSU131121 LCJ131119:LCQ131121 LMF131119:LMM131121 LWB131119:LWI131121 MFX131119:MGE131121 MPT131119:MQA131121 MZP131119:MZW131121 NJL131119:NJS131121 NTH131119:NTO131121 ODD131119:ODK131121 OMZ131119:ONG131121 OWV131119:OXC131121 PGR131119:PGY131121 PQN131119:PQU131121 QAJ131119:QAQ131121 QKF131119:QKM131121 QUB131119:QUI131121 RDX131119:REE131121 RNT131119:ROA131121 RXP131119:RXW131121 SHL131119:SHS131121 SRH131119:SRO131121 TBD131119:TBK131121 TKZ131119:TLG131121 TUV131119:TVC131121 UER131119:UEY131121 UON131119:UOU131121 UYJ131119:UYQ131121 VIF131119:VIM131121 VSB131119:VSI131121 WBX131119:WCE131121 WLT131119:WMA131121 WVP131119:WVW131121 H196655:O196657 JD196655:JK196657 SZ196655:TG196657 ACV196655:ADC196657 AMR196655:AMY196657 AWN196655:AWU196657 BGJ196655:BGQ196657 BQF196655:BQM196657 CAB196655:CAI196657 CJX196655:CKE196657 CTT196655:CUA196657 DDP196655:DDW196657 DNL196655:DNS196657 DXH196655:DXO196657 EHD196655:EHK196657 EQZ196655:ERG196657 FAV196655:FBC196657 FKR196655:FKY196657 FUN196655:FUU196657 GEJ196655:GEQ196657 GOF196655:GOM196657 GYB196655:GYI196657 HHX196655:HIE196657 HRT196655:HSA196657 IBP196655:IBW196657 ILL196655:ILS196657 IVH196655:IVO196657 JFD196655:JFK196657 JOZ196655:JPG196657 JYV196655:JZC196657 KIR196655:KIY196657 KSN196655:KSU196657 LCJ196655:LCQ196657 LMF196655:LMM196657 LWB196655:LWI196657 MFX196655:MGE196657 MPT196655:MQA196657 MZP196655:MZW196657 NJL196655:NJS196657 NTH196655:NTO196657 ODD196655:ODK196657 OMZ196655:ONG196657 OWV196655:OXC196657 PGR196655:PGY196657 PQN196655:PQU196657 QAJ196655:QAQ196657 QKF196655:QKM196657 QUB196655:QUI196657 RDX196655:REE196657 RNT196655:ROA196657 RXP196655:RXW196657 SHL196655:SHS196657 SRH196655:SRO196657 TBD196655:TBK196657 TKZ196655:TLG196657 TUV196655:TVC196657 UER196655:UEY196657 UON196655:UOU196657 UYJ196655:UYQ196657 VIF196655:VIM196657 VSB196655:VSI196657 WBX196655:WCE196657 WLT196655:WMA196657 WVP196655:WVW196657 H262191:O262193 JD262191:JK262193 SZ262191:TG262193 ACV262191:ADC262193 AMR262191:AMY262193 AWN262191:AWU262193 BGJ262191:BGQ262193 BQF262191:BQM262193 CAB262191:CAI262193 CJX262191:CKE262193 CTT262191:CUA262193 DDP262191:DDW262193 DNL262191:DNS262193 DXH262191:DXO262193 EHD262191:EHK262193 EQZ262191:ERG262193 FAV262191:FBC262193 FKR262191:FKY262193 FUN262191:FUU262193 GEJ262191:GEQ262193 GOF262191:GOM262193 GYB262191:GYI262193 HHX262191:HIE262193 HRT262191:HSA262193 IBP262191:IBW262193 ILL262191:ILS262193 IVH262191:IVO262193 JFD262191:JFK262193 JOZ262191:JPG262193 JYV262191:JZC262193 KIR262191:KIY262193 KSN262191:KSU262193 LCJ262191:LCQ262193 LMF262191:LMM262193 LWB262191:LWI262193 MFX262191:MGE262193 MPT262191:MQA262193 MZP262191:MZW262193 NJL262191:NJS262193 NTH262191:NTO262193 ODD262191:ODK262193 OMZ262191:ONG262193 OWV262191:OXC262193 PGR262191:PGY262193 PQN262191:PQU262193 QAJ262191:QAQ262193 QKF262191:QKM262193 QUB262191:QUI262193 RDX262191:REE262193 RNT262191:ROA262193 RXP262191:RXW262193 SHL262191:SHS262193 SRH262191:SRO262193 TBD262191:TBK262193 TKZ262191:TLG262193 TUV262191:TVC262193 UER262191:UEY262193 UON262191:UOU262193 UYJ262191:UYQ262193 VIF262191:VIM262193 VSB262191:VSI262193 WBX262191:WCE262193 WLT262191:WMA262193 WVP262191:WVW262193 H327727:O327729 JD327727:JK327729 SZ327727:TG327729 ACV327727:ADC327729 AMR327727:AMY327729 AWN327727:AWU327729 BGJ327727:BGQ327729 BQF327727:BQM327729 CAB327727:CAI327729 CJX327727:CKE327729 CTT327727:CUA327729 DDP327727:DDW327729 DNL327727:DNS327729 DXH327727:DXO327729 EHD327727:EHK327729 EQZ327727:ERG327729 FAV327727:FBC327729 FKR327727:FKY327729 FUN327727:FUU327729 GEJ327727:GEQ327729 GOF327727:GOM327729 GYB327727:GYI327729 HHX327727:HIE327729 HRT327727:HSA327729 IBP327727:IBW327729 ILL327727:ILS327729 IVH327727:IVO327729 JFD327727:JFK327729 JOZ327727:JPG327729 JYV327727:JZC327729 KIR327727:KIY327729 KSN327727:KSU327729 LCJ327727:LCQ327729 LMF327727:LMM327729 LWB327727:LWI327729 MFX327727:MGE327729 MPT327727:MQA327729 MZP327727:MZW327729 NJL327727:NJS327729 NTH327727:NTO327729 ODD327727:ODK327729 OMZ327727:ONG327729 OWV327727:OXC327729 PGR327727:PGY327729 PQN327727:PQU327729 QAJ327727:QAQ327729 QKF327727:QKM327729 QUB327727:QUI327729 RDX327727:REE327729 RNT327727:ROA327729 RXP327727:RXW327729 SHL327727:SHS327729 SRH327727:SRO327729 TBD327727:TBK327729 TKZ327727:TLG327729 TUV327727:TVC327729 UER327727:UEY327729 UON327727:UOU327729 UYJ327727:UYQ327729 VIF327727:VIM327729 VSB327727:VSI327729 WBX327727:WCE327729 WLT327727:WMA327729 WVP327727:WVW327729 H393263:O393265 JD393263:JK393265 SZ393263:TG393265 ACV393263:ADC393265 AMR393263:AMY393265 AWN393263:AWU393265 BGJ393263:BGQ393265 BQF393263:BQM393265 CAB393263:CAI393265 CJX393263:CKE393265 CTT393263:CUA393265 DDP393263:DDW393265 DNL393263:DNS393265 DXH393263:DXO393265 EHD393263:EHK393265 EQZ393263:ERG393265 FAV393263:FBC393265 FKR393263:FKY393265 FUN393263:FUU393265 GEJ393263:GEQ393265 GOF393263:GOM393265 GYB393263:GYI393265 HHX393263:HIE393265 HRT393263:HSA393265 IBP393263:IBW393265 ILL393263:ILS393265 IVH393263:IVO393265 JFD393263:JFK393265 JOZ393263:JPG393265 JYV393263:JZC393265 KIR393263:KIY393265 KSN393263:KSU393265 LCJ393263:LCQ393265 LMF393263:LMM393265 LWB393263:LWI393265 MFX393263:MGE393265 MPT393263:MQA393265 MZP393263:MZW393265 NJL393263:NJS393265 NTH393263:NTO393265 ODD393263:ODK393265 OMZ393263:ONG393265 OWV393263:OXC393265 PGR393263:PGY393265 PQN393263:PQU393265 QAJ393263:QAQ393265 QKF393263:QKM393265 QUB393263:QUI393265 RDX393263:REE393265 RNT393263:ROA393265 RXP393263:RXW393265 SHL393263:SHS393265 SRH393263:SRO393265 TBD393263:TBK393265 TKZ393263:TLG393265 TUV393263:TVC393265 UER393263:UEY393265 UON393263:UOU393265 UYJ393263:UYQ393265 VIF393263:VIM393265 VSB393263:VSI393265 WBX393263:WCE393265 WLT393263:WMA393265 WVP393263:WVW393265 H458799:O458801 JD458799:JK458801 SZ458799:TG458801 ACV458799:ADC458801 AMR458799:AMY458801 AWN458799:AWU458801 BGJ458799:BGQ458801 BQF458799:BQM458801 CAB458799:CAI458801 CJX458799:CKE458801 CTT458799:CUA458801 DDP458799:DDW458801 DNL458799:DNS458801 DXH458799:DXO458801 EHD458799:EHK458801 EQZ458799:ERG458801 FAV458799:FBC458801 FKR458799:FKY458801 FUN458799:FUU458801 GEJ458799:GEQ458801 GOF458799:GOM458801 GYB458799:GYI458801 HHX458799:HIE458801 HRT458799:HSA458801 IBP458799:IBW458801 ILL458799:ILS458801 IVH458799:IVO458801 JFD458799:JFK458801 JOZ458799:JPG458801 JYV458799:JZC458801 KIR458799:KIY458801 KSN458799:KSU458801 LCJ458799:LCQ458801 LMF458799:LMM458801 LWB458799:LWI458801 MFX458799:MGE458801 MPT458799:MQA458801 MZP458799:MZW458801 NJL458799:NJS458801 NTH458799:NTO458801 ODD458799:ODK458801 OMZ458799:ONG458801 OWV458799:OXC458801 PGR458799:PGY458801 PQN458799:PQU458801 QAJ458799:QAQ458801 QKF458799:QKM458801 QUB458799:QUI458801 RDX458799:REE458801 RNT458799:ROA458801 RXP458799:RXW458801 SHL458799:SHS458801 SRH458799:SRO458801 TBD458799:TBK458801 TKZ458799:TLG458801 TUV458799:TVC458801 UER458799:UEY458801 UON458799:UOU458801 UYJ458799:UYQ458801 VIF458799:VIM458801 VSB458799:VSI458801 WBX458799:WCE458801 WLT458799:WMA458801 WVP458799:WVW458801 H524335:O524337 JD524335:JK524337 SZ524335:TG524337 ACV524335:ADC524337 AMR524335:AMY524337 AWN524335:AWU524337 BGJ524335:BGQ524337 BQF524335:BQM524337 CAB524335:CAI524337 CJX524335:CKE524337 CTT524335:CUA524337 DDP524335:DDW524337 DNL524335:DNS524337 DXH524335:DXO524337 EHD524335:EHK524337 EQZ524335:ERG524337 FAV524335:FBC524337 FKR524335:FKY524337 FUN524335:FUU524337 GEJ524335:GEQ524337 GOF524335:GOM524337 GYB524335:GYI524337 HHX524335:HIE524337 HRT524335:HSA524337 IBP524335:IBW524337 ILL524335:ILS524337 IVH524335:IVO524337 JFD524335:JFK524337 JOZ524335:JPG524337 JYV524335:JZC524337 KIR524335:KIY524337 KSN524335:KSU524337 LCJ524335:LCQ524337 LMF524335:LMM524337 LWB524335:LWI524337 MFX524335:MGE524337 MPT524335:MQA524337 MZP524335:MZW524337 NJL524335:NJS524337 NTH524335:NTO524337 ODD524335:ODK524337 OMZ524335:ONG524337 OWV524335:OXC524337 PGR524335:PGY524337 PQN524335:PQU524337 QAJ524335:QAQ524337 QKF524335:QKM524337 QUB524335:QUI524337 RDX524335:REE524337 RNT524335:ROA524337 RXP524335:RXW524337 SHL524335:SHS524337 SRH524335:SRO524337 TBD524335:TBK524337 TKZ524335:TLG524337 TUV524335:TVC524337 UER524335:UEY524337 UON524335:UOU524337 UYJ524335:UYQ524337 VIF524335:VIM524337 VSB524335:VSI524337 WBX524335:WCE524337 WLT524335:WMA524337 WVP524335:WVW524337 H589871:O589873 JD589871:JK589873 SZ589871:TG589873 ACV589871:ADC589873 AMR589871:AMY589873 AWN589871:AWU589873 BGJ589871:BGQ589873 BQF589871:BQM589873 CAB589871:CAI589873 CJX589871:CKE589873 CTT589871:CUA589873 DDP589871:DDW589873 DNL589871:DNS589873 DXH589871:DXO589873 EHD589871:EHK589873 EQZ589871:ERG589873 FAV589871:FBC589873 FKR589871:FKY589873 FUN589871:FUU589873 GEJ589871:GEQ589873 GOF589871:GOM589873 GYB589871:GYI589873 HHX589871:HIE589873 HRT589871:HSA589873 IBP589871:IBW589873 ILL589871:ILS589873 IVH589871:IVO589873 JFD589871:JFK589873 JOZ589871:JPG589873 JYV589871:JZC589873 KIR589871:KIY589873 KSN589871:KSU589873 LCJ589871:LCQ589873 LMF589871:LMM589873 LWB589871:LWI589873 MFX589871:MGE589873 MPT589871:MQA589873 MZP589871:MZW589873 NJL589871:NJS589873 NTH589871:NTO589873 ODD589871:ODK589873 OMZ589871:ONG589873 OWV589871:OXC589873 PGR589871:PGY589873 PQN589871:PQU589873 QAJ589871:QAQ589873 QKF589871:QKM589873 QUB589871:QUI589873 RDX589871:REE589873 RNT589871:ROA589873 RXP589871:RXW589873 SHL589871:SHS589873 SRH589871:SRO589873 TBD589871:TBK589873 TKZ589871:TLG589873 TUV589871:TVC589873 UER589871:UEY589873 UON589871:UOU589873 UYJ589871:UYQ589873 VIF589871:VIM589873 VSB589871:VSI589873 WBX589871:WCE589873 WLT589871:WMA589873 WVP589871:WVW589873 H655407:O655409 JD655407:JK655409 SZ655407:TG655409 ACV655407:ADC655409 AMR655407:AMY655409 AWN655407:AWU655409 BGJ655407:BGQ655409 BQF655407:BQM655409 CAB655407:CAI655409 CJX655407:CKE655409 CTT655407:CUA655409 DDP655407:DDW655409 DNL655407:DNS655409 DXH655407:DXO655409 EHD655407:EHK655409 EQZ655407:ERG655409 FAV655407:FBC655409 FKR655407:FKY655409 FUN655407:FUU655409 GEJ655407:GEQ655409 GOF655407:GOM655409 GYB655407:GYI655409 HHX655407:HIE655409 HRT655407:HSA655409 IBP655407:IBW655409 ILL655407:ILS655409 IVH655407:IVO655409 JFD655407:JFK655409 JOZ655407:JPG655409 JYV655407:JZC655409 KIR655407:KIY655409 KSN655407:KSU655409 LCJ655407:LCQ655409 LMF655407:LMM655409 LWB655407:LWI655409 MFX655407:MGE655409 MPT655407:MQA655409 MZP655407:MZW655409 NJL655407:NJS655409 NTH655407:NTO655409 ODD655407:ODK655409 OMZ655407:ONG655409 OWV655407:OXC655409 PGR655407:PGY655409 PQN655407:PQU655409 QAJ655407:QAQ655409 QKF655407:QKM655409 QUB655407:QUI655409 RDX655407:REE655409 RNT655407:ROA655409 RXP655407:RXW655409 SHL655407:SHS655409 SRH655407:SRO655409 TBD655407:TBK655409 TKZ655407:TLG655409 TUV655407:TVC655409 UER655407:UEY655409 UON655407:UOU655409 UYJ655407:UYQ655409 VIF655407:VIM655409 VSB655407:VSI655409 WBX655407:WCE655409 WLT655407:WMA655409 WVP655407:WVW655409 H720943:O720945 JD720943:JK720945 SZ720943:TG720945 ACV720943:ADC720945 AMR720943:AMY720945 AWN720943:AWU720945 BGJ720943:BGQ720945 BQF720943:BQM720945 CAB720943:CAI720945 CJX720943:CKE720945 CTT720943:CUA720945 DDP720943:DDW720945 DNL720943:DNS720945 DXH720943:DXO720945 EHD720943:EHK720945 EQZ720943:ERG720945 FAV720943:FBC720945 FKR720943:FKY720945 FUN720943:FUU720945 GEJ720943:GEQ720945 GOF720943:GOM720945 GYB720943:GYI720945 HHX720943:HIE720945 HRT720943:HSA720945 IBP720943:IBW720945 ILL720943:ILS720945 IVH720943:IVO720945 JFD720943:JFK720945 JOZ720943:JPG720945 JYV720943:JZC720945 KIR720943:KIY720945 KSN720943:KSU720945 LCJ720943:LCQ720945 LMF720943:LMM720945 LWB720943:LWI720945 MFX720943:MGE720945 MPT720943:MQA720945 MZP720943:MZW720945 NJL720943:NJS720945 NTH720943:NTO720945 ODD720943:ODK720945 OMZ720943:ONG720945 OWV720943:OXC720945 PGR720943:PGY720945 PQN720943:PQU720945 QAJ720943:QAQ720945 QKF720943:QKM720945 QUB720943:QUI720945 RDX720943:REE720945 RNT720943:ROA720945 RXP720943:RXW720945 SHL720943:SHS720945 SRH720943:SRO720945 TBD720943:TBK720945 TKZ720943:TLG720945 TUV720943:TVC720945 UER720943:UEY720945 UON720943:UOU720945 UYJ720943:UYQ720945 VIF720943:VIM720945 VSB720943:VSI720945 WBX720943:WCE720945 WLT720943:WMA720945 WVP720943:WVW720945 H786479:O786481 JD786479:JK786481 SZ786479:TG786481 ACV786479:ADC786481 AMR786479:AMY786481 AWN786479:AWU786481 BGJ786479:BGQ786481 BQF786479:BQM786481 CAB786479:CAI786481 CJX786479:CKE786481 CTT786479:CUA786481 DDP786479:DDW786481 DNL786479:DNS786481 DXH786479:DXO786481 EHD786479:EHK786481 EQZ786479:ERG786481 FAV786479:FBC786481 FKR786479:FKY786481 FUN786479:FUU786481 GEJ786479:GEQ786481 GOF786479:GOM786481 GYB786479:GYI786481 HHX786479:HIE786481 HRT786479:HSA786481 IBP786479:IBW786481 ILL786479:ILS786481 IVH786479:IVO786481 JFD786479:JFK786481 JOZ786479:JPG786481 JYV786479:JZC786481 KIR786479:KIY786481 KSN786479:KSU786481 LCJ786479:LCQ786481 LMF786479:LMM786481 LWB786479:LWI786481 MFX786479:MGE786481 MPT786479:MQA786481 MZP786479:MZW786481 NJL786479:NJS786481 NTH786479:NTO786481 ODD786479:ODK786481 OMZ786479:ONG786481 OWV786479:OXC786481 PGR786479:PGY786481 PQN786479:PQU786481 QAJ786479:QAQ786481 QKF786479:QKM786481 QUB786479:QUI786481 RDX786479:REE786481 RNT786479:ROA786481 RXP786479:RXW786481 SHL786479:SHS786481 SRH786479:SRO786481 TBD786479:TBK786481 TKZ786479:TLG786481 TUV786479:TVC786481 UER786479:UEY786481 UON786479:UOU786481 UYJ786479:UYQ786481 VIF786479:VIM786481 VSB786479:VSI786481 WBX786479:WCE786481 WLT786479:WMA786481 WVP786479:WVW786481 H852015:O852017 JD852015:JK852017 SZ852015:TG852017 ACV852015:ADC852017 AMR852015:AMY852017 AWN852015:AWU852017 BGJ852015:BGQ852017 BQF852015:BQM852017 CAB852015:CAI852017 CJX852015:CKE852017 CTT852015:CUA852017 DDP852015:DDW852017 DNL852015:DNS852017 DXH852015:DXO852017 EHD852015:EHK852017 EQZ852015:ERG852017 FAV852015:FBC852017 FKR852015:FKY852017 FUN852015:FUU852017 GEJ852015:GEQ852017 GOF852015:GOM852017 GYB852015:GYI852017 HHX852015:HIE852017 HRT852015:HSA852017 IBP852015:IBW852017 ILL852015:ILS852017 IVH852015:IVO852017 JFD852015:JFK852017 JOZ852015:JPG852017 JYV852015:JZC852017 KIR852015:KIY852017 KSN852015:KSU852017 LCJ852015:LCQ852017 LMF852015:LMM852017 LWB852015:LWI852017 MFX852015:MGE852017 MPT852015:MQA852017 MZP852015:MZW852017 NJL852015:NJS852017 NTH852015:NTO852017 ODD852015:ODK852017 OMZ852015:ONG852017 OWV852015:OXC852017 PGR852015:PGY852017 PQN852015:PQU852017 QAJ852015:QAQ852017 QKF852015:QKM852017 QUB852015:QUI852017 RDX852015:REE852017 RNT852015:ROA852017 RXP852015:RXW852017 SHL852015:SHS852017 SRH852015:SRO852017 TBD852015:TBK852017 TKZ852015:TLG852017 TUV852015:TVC852017 UER852015:UEY852017 UON852015:UOU852017 UYJ852015:UYQ852017 VIF852015:VIM852017 VSB852015:VSI852017 WBX852015:WCE852017 WLT852015:WMA852017 WVP852015:WVW852017 H917551:O917553 JD917551:JK917553 SZ917551:TG917553 ACV917551:ADC917553 AMR917551:AMY917553 AWN917551:AWU917553 BGJ917551:BGQ917553 BQF917551:BQM917553 CAB917551:CAI917553 CJX917551:CKE917553 CTT917551:CUA917553 DDP917551:DDW917553 DNL917551:DNS917553 DXH917551:DXO917553 EHD917551:EHK917553 EQZ917551:ERG917553 FAV917551:FBC917553 FKR917551:FKY917553 FUN917551:FUU917553 GEJ917551:GEQ917553 GOF917551:GOM917553 GYB917551:GYI917553 HHX917551:HIE917553 HRT917551:HSA917553 IBP917551:IBW917553 ILL917551:ILS917553 IVH917551:IVO917553 JFD917551:JFK917553 JOZ917551:JPG917553 JYV917551:JZC917553 KIR917551:KIY917553 KSN917551:KSU917553 LCJ917551:LCQ917553 LMF917551:LMM917553 LWB917551:LWI917553 MFX917551:MGE917553 MPT917551:MQA917553 MZP917551:MZW917553 NJL917551:NJS917553 NTH917551:NTO917553 ODD917551:ODK917553 OMZ917551:ONG917553 OWV917551:OXC917553 PGR917551:PGY917553 PQN917551:PQU917553 QAJ917551:QAQ917553 QKF917551:QKM917553 QUB917551:QUI917553 RDX917551:REE917553 RNT917551:ROA917553 RXP917551:RXW917553 SHL917551:SHS917553 SRH917551:SRO917553 TBD917551:TBK917553 TKZ917551:TLG917553 TUV917551:TVC917553 UER917551:UEY917553 UON917551:UOU917553 UYJ917551:UYQ917553 VIF917551:VIM917553 VSB917551:VSI917553 WBX917551:WCE917553 WLT917551:WMA917553 WVP917551:WVW917553 H983087:O983089 JD983087:JK983089 SZ983087:TG983089 ACV983087:ADC983089 AMR983087:AMY983089 AWN983087:AWU983089 BGJ983087:BGQ983089 BQF983087:BQM983089 CAB983087:CAI983089 CJX983087:CKE983089 CTT983087:CUA983089 DDP983087:DDW983089 DNL983087:DNS983089 DXH983087:DXO983089 EHD983087:EHK983089 EQZ983087:ERG983089 FAV983087:FBC983089 FKR983087:FKY983089 FUN983087:FUU983089 GEJ983087:GEQ983089 GOF983087:GOM983089 GYB983087:GYI983089 HHX983087:HIE983089 HRT983087:HSA983089 IBP983087:IBW983089 ILL983087:ILS983089 IVH983087:IVO983089 JFD983087:JFK983089 JOZ983087:JPG983089 JYV983087:JZC983089 KIR983087:KIY983089 KSN983087:KSU983089 LCJ983087:LCQ983089 LMF983087:LMM983089 LWB983087:LWI983089 MFX983087:MGE983089 MPT983087:MQA983089 MZP983087:MZW983089 NJL983087:NJS983089 NTH983087:NTO983089 ODD983087:ODK983089 OMZ983087:ONG983089 OWV983087:OXC983089 PGR983087:PGY983089 PQN983087:PQU983089 QAJ983087:QAQ983089 QKF983087:QKM983089 QUB983087:QUI983089 RDX983087:REE983089 RNT983087:ROA983089 RXP983087:RXW983089 SHL983087:SHS983089 SRH983087:SRO983089 TBD983087:TBK983089 TKZ983087:TLG983089 TUV983087:TVC983089 UER983087:UEY983089 UON983087:UOU983089 UYJ983087:UYQ983089 VIF983087:VIM983089 VSB983087:VSI983089 WBX983087:WCE983089 WLT983087:WMA983089 WVP983087:WVW983089 G83:P83 JC83:JL83 SY83:TH83 ACU83:ADD83 AMQ83:AMZ83 AWM83:AWV83 BGI83:BGR83 BQE83:BQN83 CAA83:CAJ83 CJW83:CKF83 CTS83:CUB83 DDO83:DDX83 DNK83:DNT83 DXG83:DXP83 EHC83:EHL83 EQY83:ERH83 FAU83:FBD83 FKQ83:FKZ83 FUM83:FUV83 GEI83:GER83 GOE83:GON83 GYA83:GYJ83 HHW83:HIF83 HRS83:HSB83 IBO83:IBX83 ILK83:ILT83 IVG83:IVP83 JFC83:JFL83 JOY83:JPH83 JYU83:JZD83 KIQ83:KIZ83 KSM83:KSV83 LCI83:LCR83 LME83:LMN83 LWA83:LWJ83 MFW83:MGF83 MPS83:MQB83 MZO83:MZX83 NJK83:NJT83 NTG83:NTP83 ODC83:ODL83 OMY83:ONH83 OWU83:OXD83 PGQ83:PGZ83 PQM83:PQV83 QAI83:QAR83 QKE83:QKN83 QUA83:QUJ83 RDW83:REF83 RNS83:ROB83 RXO83:RXX83 SHK83:SHT83 SRG83:SRP83 TBC83:TBL83 TKY83:TLH83 TUU83:TVD83 UEQ83:UEZ83 UOM83:UOV83 UYI83:UYR83 VIE83:VIN83 VSA83:VSJ83 WBW83:WCF83 WLS83:WMB83 WVO83:WVX83 G65619:P65619 JC65619:JL65619 SY65619:TH65619 ACU65619:ADD65619 AMQ65619:AMZ65619 AWM65619:AWV65619 BGI65619:BGR65619 BQE65619:BQN65619 CAA65619:CAJ65619 CJW65619:CKF65619 CTS65619:CUB65619 DDO65619:DDX65619 DNK65619:DNT65619 DXG65619:DXP65619 EHC65619:EHL65619 EQY65619:ERH65619 FAU65619:FBD65619 FKQ65619:FKZ65619 FUM65619:FUV65619 GEI65619:GER65619 GOE65619:GON65619 GYA65619:GYJ65619 HHW65619:HIF65619 HRS65619:HSB65619 IBO65619:IBX65619 ILK65619:ILT65619 IVG65619:IVP65619 JFC65619:JFL65619 JOY65619:JPH65619 JYU65619:JZD65619 KIQ65619:KIZ65619 KSM65619:KSV65619 LCI65619:LCR65619 LME65619:LMN65619 LWA65619:LWJ65619 MFW65619:MGF65619 MPS65619:MQB65619 MZO65619:MZX65619 NJK65619:NJT65619 NTG65619:NTP65619 ODC65619:ODL65619 OMY65619:ONH65619 OWU65619:OXD65619 PGQ65619:PGZ65619 PQM65619:PQV65619 QAI65619:QAR65619 QKE65619:QKN65619 QUA65619:QUJ65619 RDW65619:REF65619 RNS65619:ROB65619 RXO65619:RXX65619 SHK65619:SHT65619 SRG65619:SRP65619 TBC65619:TBL65619 TKY65619:TLH65619 TUU65619:TVD65619 UEQ65619:UEZ65619 UOM65619:UOV65619 UYI65619:UYR65619 VIE65619:VIN65619 VSA65619:VSJ65619 WBW65619:WCF65619 WLS65619:WMB65619 WVO65619:WVX65619 G131155:P131155 JC131155:JL131155 SY131155:TH131155 ACU131155:ADD131155 AMQ131155:AMZ131155 AWM131155:AWV131155 BGI131155:BGR131155 BQE131155:BQN131155 CAA131155:CAJ131155 CJW131155:CKF131155 CTS131155:CUB131155 DDO131155:DDX131155 DNK131155:DNT131155 DXG131155:DXP131155 EHC131155:EHL131155 EQY131155:ERH131155 FAU131155:FBD131155 FKQ131155:FKZ131155 FUM131155:FUV131155 GEI131155:GER131155 GOE131155:GON131155 GYA131155:GYJ131155 HHW131155:HIF131155 HRS131155:HSB131155 IBO131155:IBX131155 ILK131155:ILT131155 IVG131155:IVP131155 JFC131155:JFL131155 JOY131155:JPH131155 JYU131155:JZD131155 KIQ131155:KIZ131155 KSM131155:KSV131155 LCI131155:LCR131155 LME131155:LMN131155 LWA131155:LWJ131155 MFW131155:MGF131155 MPS131155:MQB131155 MZO131155:MZX131155 NJK131155:NJT131155 NTG131155:NTP131155 ODC131155:ODL131155 OMY131155:ONH131155 OWU131155:OXD131155 PGQ131155:PGZ131155 PQM131155:PQV131155 QAI131155:QAR131155 QKE131155:QKN131155 QUA131155:QUJ131155 RDW131155:REF131155 RNS131155:ROB131155 RXO131155:RXX131155 SHK131155:SHT131155 SRG131155:SRP131155 TBC131155:TBL131155 TKY131155:TLH131155 TUU131155:TVD131155 UEQ131155:UEZ131155 UOM131155:UOV131155 UYI131155:UYR131155 VIE131155:VIN131155 VSA131155:VSJ131155 WBW131155:WCF131155 WLS131155:WMB131155 WVO131155:WVX131155 G196691:P196691 JC196691:JL196691 SY196691:TH196691 ACU196691:ADD196691 AMQ196691:AMZ196691 AWM196691:AWV196691 BGI196691:BGR196691 BQE196691:BQN196691 CAA196691:CAJ196691 CJW196691:CKF196691 CTS196691:CUB196691 DDO196691:DDX196691 DNK196691:DNT196691 DXG196691:DXP196691 EHC196691:EHL196691 EQY196691:ERH196691 FAU196691:FBD196691 FKQ196691:FKZ196691 FUM196691:FUV196691 GEI196691:GER196691 GOE196691:GON196691 GYA196691:GYJ196691 HHW196691:HIF196691 HRS196691:HSB196691 IBO196691:IBX196691 ILK196691:ILT196691 IVG196691:IVP196691 JFC196691:JFL196691 JOY196691:JPH196691 JYU196691:JZD196691 KIQ196691:KIZ196691 KSM196691:KSV196691 LCI196691:LCR196691 LME196691:LMN196691 LWA196691:LWJ196691 MFW196691:MGF196691 MPS196691:MQB196691 MZO196691:MZX196691 NJK196691:NJT196691 NTG196691:NTP196691 ODC196691:ODL196691 OMY196691:ONH196691 OWU196691:OXD196691 PGQ196691:PGZ196691 PQM196691:PQV196691 QAI196691:QAR196691 QKE196691:QKN196691 QUA196691:QUJ196691 RDW196691:REF196691 RNS196691:ROB196691 RXO196691:RXX196691 SHK196691:SHT196691 SRG196691:SRP196691 TBC196691:TBL196691 TKY196691:TLH196691 TUU196691:TVD196691 UEQ196691:UEZ196691 UOM196691:UOV196691 UYI196691:UYR196691 VIE196691:VIN196691 VSA196691:VSJ196691 WBW196691:WCF196691 WLS196691:WMB196691 WVO196691:WVX196691 G262227:P262227 JC262227:JL262227 SY262227:TH262227 ACU262227:ADD262227 AMQ262227:AMZ262227 AWM262227:AWV262227 BGI262227:BGR262227 BQE262227:BQN262227 CAA262227:CAJ262227 CJW262227:CKF262227 CTS262227:CUB262227 DDO262227:DDX262227 DNK262227:DNT262227 DXG262227:DXP262227 EHC262227:EHL262227 EQY262227:ERH262227 FAU262227:FBD262227 FKQ262227:FKZ262227 FUM262227:FUV262227 GEI262227:GER262227 GOE262227:GON262227 GYA262227:GYJ262227 HHW262227:HIF262227 HRS262227:HSB262227 IBO262227:IBX262227 ILK262227:ILT262227 IVG262227:IVP262227 JFC262227:JFL262227 JOY262227:JPH262227 JYU262227:JZD262227 KIQ262227:KIZ262227 KSM262227:KSV262227 LCI262227:LCR262227 LME262227:LMN262227 LWA262227:LWJ262227 MFW262227:MGF262227 MPS262227:MQB262227 MZO262227:MZX262227 NJK262227:NJT262227 NTG262227:NTP262227 ODC262227:ODL262227 OMY262227:ONH262227 OWU262227:OXD262227 PGQ262227:PGZ262227 PQM262227:PQV262227 QAI262227:QAR262227 QKE262227:QKN262227 QUA262227:QUJ262227 RDW262227:REF262227 RNS262227:ROB262227 RXO262227:RXX262227 SHK262227:SHT262227 SRG262227:SRP262227 TBC262227:TBL262227 TKY262227:TLH262227 TUU262227:TVD262227 UEQ262227:UEZ262227 UOM262227:UOV262227 UYI262227:UYR262227 VIE262227:VIN262227 VSA262227:VSJ262227 WBW262227:WCF262227 WLS262227:WMB262227 WVO262227:WVX262227 G327763:P327763 JC327763:JL327763 SY327763:TH327763 ACU327763:ADD327763 AMQ327763:AMZ327763 AWM327763:AWV327763 BGI327763:BGR327763 BQE327763:BQN327763 CAA327763:CAJ327763 CJW327763:CKF327763 CTS327763:CUB327763 DDO327763:DDX327763 DNK327763:DNT327763 DXG327763:DXP327763 EHC327763:EHL327763 EQY327763:ERH327763 FAU327763:FBD327763 FKQ327763:FKZ327763 FUM327763:FUV327763 GEI327763:GER327763 GOE327763:GON327763 GYA327763:GYJ327763 HHW327763:HIF327763 HRS327763:HSB327763 IBO327763:IBX327763 ILK327763:ILT327763 IVG327763:IVP327763 JFC327763:JFL327763 JOY327763:JPH327763 JYU327763:JZD327763 KIQ327763:KIZ327763 KSM327763:KSV327763 LCI327763:LCR327763 LME327763:LMN327763 LWA327763:LWJ327763 MFW327763:MGF327763 MPS327763:MQB327763 MZO327763:MZX327763 NJK327763:NJT327763 NTG327763:NTP327763 ODC327763:ODL327763 OMY327763:ONH327763 OWU327763:OXD327763 PGQ327763:PGZ327763 PQM327763:PQV327763 QAI327763:QAR327763 QKE327763:QKN327763 QUA327763:QUJ327763 RDW327763:REF327763 RNS327763:ROB327763 RXO327763:RXX327763 SHK327763:SHT327763 SRG327763:SRP327763 TBC327763:TBL327763 TKY327763:TLH327763 TUU327763:TVD327763 UEQ327763:UEZ327763 UOM327763:UOV327763 UYI327763:UYR327763 VIE327763:VIN327763 VSA327763:VSJ327763 WBW327763:WCF327763 WLS327763:WMB327763 WVO327763:WVX327763 G393299:P393299 JC393299:JL393299 SY393299:TH393299 ACU393299:ADD393299 AMQ393299:AMZ393299 AWM393299:AWV393299 BGI393299:BGR393299 BQE393299:BQN393299 CAA393299:CAJ393299 CJW393299:CKF393299 CTS393299:CUB393299 DDO393299:DDX393299 DNK393299:DNT393299 DXG393299:DXP393299 EHC393299:EHL393299 EQY393299:ERH393299 FAU393299:FBD393299 FKQ393299:FKZ393299 FUM393299:FUV393299 GEI393299:GER393299 GOE393299:GON393299 GYA393299:GYJ393299 HHW393299:HIF393299 HRS393299:HSB393299 IBO393299:IBX393299 ILK393299:ILT393299 IVG393299:IVP393299 JFC393299:JFL393299 JOY393299:JPH393299 JYU393299:JZD393299 KIQ393299:KIZ393299 KSM393299:KSV393299 LCI393299:LCR393299 LME393299:LMN393299 LWA393299:LWJ393299 MFW393299:MGF393299 MPS393299:MQB393299 MZO393299:MZX393299 NJK393299:NJT393299 NTG393299:NTP393299 ODC393299:ODL393299 OMY393299:ONH393299 OWU393299:OXD393299 PGQ393299:PGZ393299 PQM393299:PQV393299 QAI393299:QAR393299 QKE393299:QKN393299 QUA393299:QUJ393299 RDW393299:REF393299 RNS393299:ROB393299 RXO393299:RXX393299 SHK393299:SHT393299 SRG393299:SRP393299 TBC393299:TBL393299 TKY393299:TLH393299 TUU393299:TVD393299 UEQ393299:UEZ393299 UOM393299:UOV393299 UYI393299:UYR393299 VIE393299:VIN393299 VSA393299:VSJ393299 WBW393299:WCF393299 WLS393299:WMB393299 WVO393299:WVX393299 G458835:P458835 JC458835:JL458835 SY458835:TH458835 ACU458835:ADD458835 AMQ458835:AMZ458835 AWM458835:AWV458835 BGI458835:BGR458835 BQE458835:BQN458835 CAA458835:CAJ458835 CJW458835:CKF458835 CTS458835:CUB458835 DDO458835:DDX458835 DNK458835:DNT458835 DXG458835:DXP458835 EHC458835:EHL458835 EQY458835:ERH458835 FAU458835:FBD458835 FKQ458835:FKZ458835 FUM458835:FUV458835 GEI458835:GER458835 GOE458835:GON458835 GYA458835:GYJ458835 HHW458835:HIF458835 HRS458835:HSB458835 IBO458835:IBX458835 ILK458835:ILT458835 IVG458835:IVP458835 JFC458835:JFL458835 JOY458835:JPH458835 JYU458835:JZD458835 KIQ458835:KIZ458835 KSM458835:KSV458835 LCI458835:LCR458835 LME458835:LMN458835 LWA458835:LWJ458835 MFW458835:MGF458835 MPS458835:MQB458835 MZO458835:MZX458835 NJK458835:NJT458835 NTG458835:NTP458835 ODC458835:ODL458835 OMY458835:ONH458835 OWU458835:OXD458835 PGQ458835:PGZ458835 PQM458835:PQV458835 QAI458835:QAR458835 QKE458835:QKN458835 QUA458835:QUJ458835 RDW458835:REF458835 RNS458835:ROB458835 RXO458835:RXX458835 SHK458835:SHT458835 SRG458835:SRP458835 TBC458835:TBL458835 TKY458835:TLH458835 TUU458835:TVD458835 UEQ458835:UEZ458835 UOM458835:UOV458835 UYI458835:UYR458835 VIE458835:VIN458835 VSA458835:VSJ458835 WBW458835:WCF458835 WLS458835:WMB458835 WVO458835:WVX458835 G524371:P524371 JC524371:JL524371 SY524371:TH524371 ACU524371:ADD524371 AMQ524371:AMZ524371 AWM524371:AWV524371 BGI524371:BGR524371 BQE524371:BQN524371 CAA524371:CAJ524371 CJW524371:CKF524371 CTS524371:CUB524371 DDO524371:DDX524371 DNK524371:DNT524371 DXG524371:DXP524371 EHC524371:EHL524371 EQY524371:ERH524371 FAU524371:FBD524371 FKQ524371:FKZ524371 FUM524371:FUV524371 GEI524371:GER524371 GOE524371:GON524371 GYA524371:GYJ524371 HHW524371:HIF524371 HRS524371:HSB524371 IBO524371:IBX524371 ILK524371:ILT524371 IVG524371:IVP524371 JFC524371:JFL524371 JOY524371:JPH524371 JYU524371:JZD524371 KIQ524371:KIZ524371 KSM524371:KSV524371 LCI524371:LCR524371 LME524371:LMN524371 LWA524371:LWJ524371 MFW524371:MGF524371 MPS524371:MQB524371 MZO524371:MZX524371 NJK524371:NJT524371 NTG524371:NTP524371 ODC524371:ODL524371 OMY524371:ONH524371 OWU524371:OXD524371 PGQ524371:PGZ524371 PQM524371:PQV524371 QAI524371:QAR524371 QKE524371:QKN524371 QUA524371:QUJ524371 RDW524371:REF524371 RNS524371:ROB524371 RXO524371:RXX524371 SHK524371:SHT524371 SRG524371:SRP524371 TBC524371:TBL524371 TKY524371:TLH524371 TUU524371:TVD524371 UEQ524371:UEZ524371 UOM524371:UOV524371 UYI524371:UYR524371 VIE524371:VIN524371 VSA524371:VSJ524371 WBW524371:WCF524371 WLS524371:WMB524371 WVO524371:WVX524371 G589907:P589907 JC589907:JL589907 SY589907:TH589907 ACU589907:ADD589907 AMQ589907:AMZ589907 AWM589907:AWV589907 BGI589907:BGR589907 BQE589907:BQN589907 CAA589907:CAJ589907 CJW589907:CKF589907 CTS589907:CUB589907 DDO589907:DDX589907 DNK589907:DNT589907 DXG589907:DXP589907 EHC589907:EHL589907 EQY589907:ERH589907 FAU589907:FBD589907 FKQ589907:FKZ589907 FUM589907:FUV589907 GEI589907:GER589907 GOE589907:GON589907 GYA589907:GYJ589907 HHW589907:HIF589907 HRS589907:HSB589907 IBO589907:IBX589907 ILK589907:ILT589907 IVG589907:IVP589907 JFC589907:JFL589907 JOY589907:JPH589907 JYU589907:JZD589907 KIQ589907:KIZ589907 KSM589907:KSV589907 LCI589907:LCR589907 LME589907:LMN589907 LWA589907:LWJ589907 MFW589907:MGF589907 MPS589907:MQB589907 MZO589907:MZX589907 NJK589907:NJT589907 NTG589907:NTP589907 ODC589907:ODL589907 OMY589907:ONH589907 OWU589907:OXD589907 PGQ589907:PGZ589907 PQM589907:PQV589907 QAI589907:QAR589907 QKE589907:QKN589907 QUA589907:QUJ589907 RDW589907:REF589907 RNS589907:ROB589907 RXO589907:RXX589907 SHK589907:SHT589907 SRG589907:SRP589907 TBC589907:TBL589907 TKY589907:TLH589907 TUU589907:TVD589907 UEQ589907:UEZ589907 UOM589907:UOV589907 UYI589907:UYR589907 VIE589907:VIN589907 VSA589907:VSJ589907 WBW589907:WCF589907 WLS589907:WMB589907 WVO589907:WVX589907 G655443:P655443 JC655443:JL655443 SY655443:TH655443 ACU655443:ADD655443 AMQ655443:AMZ655443 AWM655443:AWV655443 BGI655443:BGR655443 BQE655443:BQN655443 CAA655443:CAJ655443 CJW655443:CKF655443 CTS655443:CUB655443 DDO655443:DDX655443 DNK655443:DNT655443 DXG655443:DXP655443 EHC655443:EHL655443 EQY655443:ERH655443 FAU655443:FBD655443 FKQ655443:FKZ655443 FUM655443:FUV655443 GEI655443:GER655443 GOE655443:GON655443 GYA655443:GYJ655443 HHW655443:HIF655443 HRS655443:HSB655443 IBO655443:IBX655443 ILK655443:ILT655443 IVG655443:IVP655443 JFC655443:JFL655443 JOY655443:JPH655443 JYU655443:JZD655443 KIQ655443:KIZ655443 KSM655443:KSV655443 LCI655443:LCR655443 LME655443:LMN655443 LWA655443:LWJ655443 MFW655443:MGF655443 MPS655443:MQB655443 MZO655443:MZX655443 NJK655443:NJT655443 NTG655443:NTP655443 ODC655443:ODL655443 OMY655443:ONH655443 OWU655443:OXD655443 PGQ655443:PGZ655443 PQM655443:PQV655443 QAI655443:QAR655443 QKE655443:QKN655443 QUA655443:QUJ655443 RDW655443:REF655443 RNS655443:ROB655443 RXO655443:RXX655443 SHK655443:SHT655443 SRG655443:SRP655443 TBC655443:TBL655443 TKY655443:TLH655443 TUU655443:TVD655443 UEQ655443:UEZ655443 UOM655443:UOV655443 UYI655443:UYR655443 VIE655443:VIN655443 VSA655443:VSJ655443 WBW655443:WCF655443 WLS655443:WMB655443 WVO655443:WVX655443 G720979:P720979 JC720979:JL720979 SY720979:TH720979 ACU720979:ADD720979 AMQ720979:AMZ720979 AWM720979:AWV720979 BGI720979:BGR720979 BQE720979:BQN720979 CAA720979:CAJ720979 CJW720979:CKF720979 CTS720979:CUB720979 DDO720979:DDX720979 DNK720979:DNT720979 DXG720979:DXP720979 EHC720979:EHL720979 EQY720979:ERH720979 FAU720979:FBD720979 FKQ720979:FKZ720979 FUM720979:FUV720979 GEI720979:GER720979 GOE720979:GON720979 GYA720979:GYJ720979 HHW720979:HIF720979 HRS720979:HSB720979 IBO720979:IBX720979 ILK720979:ILT720979 IVG720979:IVP720979 JFC720979:JFL720979 JOY720979:JPH720979 JYU720979:JZD720979 KIQ720979:KIZ720979 KSM720979:KSV720979 LCI720979:LCR720979 LME720979:LMN720979 LWA720979:LWJ720979 MFW720979:MGF720979 MPS720979:MQB720979 MZO720979:MZX720979 NJK720979:NJT720979 NTG720979:NTP720979 ODC720979:ODL720979 OMY720979:ONH720979 OWU720979:OXD720979 PGQ720979:PGZ720979 PQM720979:PQV720979 QAI720979:QAR720979 QKE720979:QKN720979 QUA720979:QUJ720979 RDW720979:REF720979 RNS720979:ROB720979 RXO720979:RXX720979 SHK720979:SHT720979 SRG720979:SRP720979 TBC720979:TBL720979 TKY720979:TLH720979 TUU720979:TVD720979 UEQ720979:UEZ720979 UOM720979:UOV720979 UYI720979:UYR720979 VIE720979:VIN720979 VSA720979:VSJ720979 WBW720979:WCF720979 WLS720979:WMB720979 WVO720979:WVX720979 G786515:P786515 JC786515:JL786515 SY786515:TH786515 ACU786515:ADD786515 AMQ786515:AMZ786515 AWM786515:AWV786515 BGI786515:BGR786515 BQE786515:BQN786515 CAA786515:CAJ786515 CJW786515:CKF786515 CTS786515:CUB786515 DDO786515:DDX786515 DNK786515:DNT786515 DXG786515:DXP786515 EHC786515:EHL786515 EQY786515:ERH786515 FAU786515:FBD786515 FKQ786515:FKZ786515 FUM786515:FUV786515 GEI786515:GER786515 GOE786515:GON786515 GYA786515:GYJ786515 HHW786515:HIF786515 HRS786515:HSB786515 IBO786515:IBX786515 ILK786515:ILT786515 IVG786515:IVP786515 JFC786515:JFL786515 JOY786515:JPH786515 JYU786515:JZD786515 KIQ786515:KIZ786515 KSM786515:KSV786515 LCI786515:LCR786515 LME786515:LMN786515 LWA786515:LWJ786515 MFW786515:MGF786515 MPS786515:MQB786515 MZO786515:MZX786515 NJK786515:NJT786515 NTG786515:NTP786515 ODC786515:ODL786515 OMY786515:ONH786515 OWU786515:OXD786515 PGQ786515:PGZ786515 PQM786515:PQV786515 QAI786515:QAR786515 QKE786515:QKN786515 QUA786515:QUJ786515 RDW786515:REF786515 RNS786515:ROB786515 RXO786515:RXX786515 SHK786515:SHT786515 SRG786515:SRP786515 TBC786515:TBL786515 TKY786515:TLH786515 TUU786515:TVD786515 UEQ786515:UEZ786515 UOM786515:UOV786515 UYI786515:UYR786515 VIE786515:VIN786515 VSA786515:VSJ786515 WBW786515:WCF786515 WLS786515:WMB786515 WVO786515:WVX786515 G852051:P852051 JC852051:JL852051 SY852051:TH852051 ACU852051:ADD852051 AMQ852051:AMZ852051 AWM852051:AWV852051 BGI852051:BGR852051 BQE852051:BQN852051 CAA852051:CAJ852051 CJW852051:CKF852051 CTS852051:CUB852051 DDO852051:DDX852051 DNK852051:DNT852051 DXG852051:DXP852051 EHC852051:EHL852051 EQY852051:ERH852051 FAU852051:FBD852051 FKQ852051:FKZ852051 FUM852051:FUV852051 GEI852051:GER852051 GOE852051:GON852051 GYA852051:GYJ852051 HHW852051:HIF852051 HRS852051:HSB852051 IBO852051:IBX852051 ILK852051:ILT852051 IVG852051:IVP852051 JFC852051:JFL852051 JOY852051:JPH852051 JYU852051:JZD852051 KIQ852051:KIZ852051 KSM852051:KSV852051 LCI852051:LCR852051 LME852051:LMN852051 LWA852051:LWJ852051 MFW852051:MGF852051 MPS852051:MQB852051 MZO852051:MZX852051 NJK852051:NJT852051 NTG852051:NTP852051 ODC852051:ODL852051 OMY852051:ONH852051 OWU852051:OXD852051 PGQ852051:PGZ852051 PQM852051:PQV852051 QAI852051:QAR852051 QKE852051:QKN852051 QUA852051:QUJ852051 RDW852051:REF852051 RNS852051:ROB852051 RXO852051:RXX852051 SHK852051:SHT852051 SRG852051:SRP852051 TBC852051:TBL852051 TKY852051:TLH852051 TUU852051:TVD852051 UEQ852051:UEZ852051 UOM852051:UOV852051 UYI852051:UYR852051 VIE852051:VIN852051 VSA852051:VSJ852051 WBW852051:WCF852051 WLS852051:WMB852051 WVO852051:WVX852051 G917587:P917587 JC917587:JL917587 SY917587:TH917587 ACU917587:ADD917587 AMQ917587:AMZ917587 AWM917587:AWV917587 BGI917587:BGR917587 BQE917587:BQN917587 CAA917587:CAJ917587 CJW917587:CKF917587 CTS917587:CUB917587 DDO917587:DDX917587 DNK917587:DNT917587 DXG917587:DXP917587 EHC917587:EHL917587 EQY917587:ERH917587 FAU917587:FBD917587 FKQ917587:FKZ917587 FUM917587:FUV917587 GEI917587:GER917587 GOE917587:GON917587 GYA917587:GYJ917587 HHW917587:HIF917587 HRS917587:HSB917587 IBO917587:IBX917587 ILK917587:ILT917587 IVG917587:IVP917587 JFC917587:JFL917587 JOY917587:JPH917587 JYU917587:JZD917587 KIQ917587:KIZ917587 KSM917587:KSV917587 LCI917587:LCR917587 LME917587:LMN917587 LWA917587:LWJ917587 MFW917587:MGF917587 MPS917587:MQB917587 MZO917587:MZX917587 NJK917587:NJT917587 NTG917587:NTP917587 ODC917587:ODL917587 OMY917587:ONH917587 OWU917587:OXD917587 PGQ917587:PGZ917587 PQM917587:PQV917587 QAI917587:QAR917587 QKE917587:QKN917587 QUA917587:QUJ917587 RDW917587:REF917587 RNS917587:ROB917587 RXO917587:RXX917587 SHK917587:SHT917587 SRG917587:SRP917587 TBC917587:TBL917587 TKY917587:TLH917587 TUU917587:TVD917587 UEQ917587:UEZ917587 UOM917587:UOV917587 UYI917587:UYR917587 VIE917587:VIN917587 VSA917587:VSJ917587 WBW917587:WCF917587 WLS917587:WMB917587 WVO917587:WVX917587 G983123:P983123 JC983123:JL983123 SY983123:TH983123 ACU983123:ADD983123 AMQ983123:AMZ983123 AWM983123:AWV983123 BGI983123:BGR983123 BQE983123:BQN983123 CAA983123:CAJ983123 CJW983123:CKF983123 CTS983123:CUB983123 DDO983123:DDX983123 DNK983123:DNT983123 DXG983123:DXP983123 EHC983123:EHL983123 EQY983123:ERH983123 FAU983123:FBD983123 FKQ983123:FKZ983123 FUM983123:FUV983123 GEI983123:GER983123 GOE983123:GON983123 GYA983123:GYJ983123 HHW983123:HIF983123 HRS983123:HSB983123 IBO983123:IBX983123 ILK983123:ILT983123 IVG983123:IVP983123 JFC983123:JFL983123 JOY983123:JPH983123 JYU983123:JZD983123 KIQ983123:KIZ983123 KSM983123:KSV983123 LCI983123:LCR983123 LME983123:LMN983123 LWA983123:LWJ983123 MFW983123:MGF983123 MPS983123:MQB983123 MZO983123:MZX983123 NJK983123:NJT983123 NTG983123:NTP983123 ODC983123:ODL983123 OMY983123:ONH983123 OWU983123:OXD983123 PGQ983123:PGZ983123 PQM983123:PQV983123 QAI983123:QAR983123 QKE983123:QKN983123 QUA983123:QUJ983123 RDW983123:REF983123 RNS983123:ROB983123 RXO983123:RXX983123 SHK983123:SHT983123 SRG983123:SRP983123 TBC983123:TBL983123 TKY983123:TLH983123 TUU983123:TVD983123 UEQ983123:UEZ983123 UOM983123:UOV983123 UYI983123:UYR983123 VIE983123:VIN983123 VSA983123:VSJ983123 WBW983123:WCF983123 WLS983123:WMB983123 WVO983123:WVX983123 G14:P18 JC14:JL18 SY14:TH18 ACU14:ADD18 AMQ14:AMZ18 AWM14:AWV18 BGI14:BGR18 BQE14:BQN18 CAA14:CAJ18 CJW14:CKF18 CTS14:CUB18 DDO14:DDX18 DNK14:DNT18 DXG14:DXP18 EHC14:EHL18 EQY14:ERH18 FAU14:FBD18 FKQ14:FKZ18 FUM14:FUV18 GEI14:GER18 GOE14:GON18 GYA14:GYJ18 HHW14:HIF18 HRS14:HSB18 IBO14:IBX18 ILK14:ILT18 IVG14:IVP18 JFC14:JFL18 JOY14:JPH18 JYU14:JZD18 KIQ14:KIZ18 KSM14:KSV18 LCI14:LCR18 LME14:LMN18 LWA14:LWJ18 MFW14:MGF18 MPS14:MQB18 MZO14:MZX18 NJK14:NJT18 NTG14:NTP18 ODC14:ODL18 OMY14:ONH18 OWU14:OXD18 PGQ14:PGZ18 PQM14:PQV18 QAI14:QAR18 QKE14:QKN18 QUA14:QUJ18 RDW14:REF18 RNS14:ROB18 RXO14:RXX18 SHK14:SHT18 SRG14:SRP18 TBC14:TBL18 TKY14:TLH18 TUU14:TVD18 UEQ14:UEZ18 UOM14:UOV18 UYI14:UYR18 VIE14:VIN18 VSA14:VSJ18 WBW14:WCF18 WLS14:WMB18 WVO14:WVX18 G65550:P65554 JC65550:JL65554 SY65550:TH65554 ACU65550:ADD65554 AMQ65550:AMZ65554 AWM65550:AWV65554 BGI65550:BGR65554 BQE65550:BQN65554 CAA65550:CAJ65554 CJW65550:CKF65554 CTS65550:CUB65554 DDO65550:DDX65554 DNK65550:DNT65554 DXG65550:DXP65554 EHC65550:EHL65554 EQY65550:ERH65554 FAU65550:FBD65554 FKQ65550:FKZ65554 FUM65550:FUV65554 GEI65550:GER65554 GOE65550:GON65554 GYA65550:GYJ65554 HHW65550:HIF65554 HRS65550:HSB65554 IBO65550:IBX65554 ILK65550:ILT65554 IVG65550:IVP65554 JFC65550:JFL65554 JOY65550:JPH65554 JYU65550:JZD65554 KIQ65550:KIZ65554 KSM65550:KSV65554 LCI65550:LCR65554 LME65550:LMN65554 LWA65550:LWJ65554 MFW65550:MGF65554 MPS65550:MQB65554 MZO65550:MZX65554 NJK65550:NJT65554 NTG65550:NTP65554 ODC65550:ODL65554 OMY65550:ONH65554 OWU65550:OXD65554 PGQ65550:PGZ65554 PQM65550:PQV65554 QAI65550:QAR65554 QKE65550:QKN65554 QUA65550:QUJ65554 RDW65550:REF65554 RNS65550:ROB65554 RXO65550:RXX65554 SHK65550:SHT65554 SRG65550:SRP65554 TBC65550:TBL65554 TKY65550:TLH65554 TUU65550:TVD65554 UEQ65550:UEZ65554 UOM65550:UOV65554 UYI65550:UYR65554 VIE65550:VIN65554 VSA65550:VSJ65554 WBW65550:WCF65554 WLS65550:WMB65554 WVO65550:WVX65554 G131086:P131090 JC131086:JL131090 SY131086:TH131090 ACU131086:ADD131090 AMQ131086:AMZ131090 AWM131086:AWV131090 BGI131086:BGR131090 BQE131086:BQN131090 CAA131086:CAJ131090 CJW131086:CKF131090 CTS131086:CUB131090 DDO131086:DDX131090 DNK131086:DNT131090 DXG131086:DXP131090 EHC131086:EHL131090 EQY131086:ERH131090 FAU131086:FBD131090 FKQ131086:FKZ131090 FUM131086:FUV131090 GEI131086:GER131090 GOE131086:GON131090 GYA131086:GYJ131090 HHW131086:HIF131090 HRS131086:HSB131090 IBO131086:IBX131090 ILK131086:ILT131090 IVG131086:IVP131090 JFC131086:JFL131090 JOY131086:JPH131090 JYU131086:JZD131090 KIQ131086:KIZ131090 KSM131086:KSV131090 LCI131086:LCR131090 LME131086:LMN131090 LWA131086:LWJ131090 MFW131086:MGF131090 MPS131086:MQB131090 MZO131086:MZX131090 NJK131086:NJT131090 NTG131086:NTP131090 ODC131086:ODL131090 OMY131086:ONH131090 OWU131086:OXD131090 PGQ131086:PGZ131090 PQM131086:PQV131090 QAI131086:QAR131090 QKE131086:QKN131090 QUA131086:QUJ131090 RDW131086:REF131090 RNS131086:ROB131090 RXO131086:RXX131090 SHK131086:SHT131090 SRG131086:SRP131090 TBC131086:TBL131090 TKY131086:TLH131090 TUU131086:TVD131090 UEQ131086:UEZ131090 UOM131086:UOV131090 UYI131086:UYR131090 VIE131086:VIN131090 VSA131086:VSJ131090 WBW131086:WCF131090 WLS131086:WMB131090 WVO131086:WVX131090 G196622:P196626 JC196622:JL196626 SY196622:TH196626 ACU196622:ADD196626 AMQ196622:AMZ196626 AWM196622:AWV196626 BGI196622:BGR196626 BQE196622:BQN196626 CAA196622:CAJ196626 CJW196622:CKF196626 CTS196622:CUB196626 DDO196622:DDX196626 DNK196622:DNT196626 DXG196622:DXP196626 EHC196622:EHL196626 EQY196622:ERH196626 FAU196622:FBD196626 FKQ196622:FKZ196626 FUM196622:FUV196626 GEI196622:GER196626 GOE196622:GON196626 GYA196622:GYJ196626 HHW196622:HIF196626 HRS196622:HSB196626 IBO196622:IBX196626 ILK196622:ILT196626 IVG196622:IVP196626 JFC196622:JFL196626 JOY196622:JPH196626 JYU196622:JZD196626 KIQ196622:KIZ196626 KSM196622:KSV196626 LCI196622:LCR196626 LME196622:LMN196626 LWA196622:LWJ196626 MFW196622:MGF196626 MPS196622:MQB196626 MZO196622:MZX196626 NJK196622:NJT196626 NTG196622:NTP196626 ODC196622:ODL196626 OMY196622:ONH196626 OWU196622:OXD196626 PGQ196622:PGZ196626 PQM196622:PQV196626 QAI196622:QAR196626 QKE196622:QKN196626 QUA196622:QUJ196626 RDW196622:REF196626 RNS196622:ROB196626 RXO196622:RXX196626 SHK196622:SHT196626 SRG196622:SRP196626 TBC196622:TBL196626 TKY196622:TLH196626 TUU196622:TVD196626 UEQ196622:UEZ196626 UOM196622:UOV196626 UYI196622:UYR196626 VIE196622:VIN196626 VSA196622:VSJ196626 WBW196622:WCF196626 WLS196622:WMB196626 WVO196622:WVX196626 G262158:P262162 JC262158:JL262162 SY262158:TH262162 ACU262158:ADD262162 AMQ262158:AMZ262162 AWM262158:AWV262162 BGI262158:BGR262162 BQE262158:BQN262162 CAA262158:CAJ262162 CJW262158:CKF262162 CTS262158:CUB262162 DDO262158:DDX262162 DNK262158:DNT262162 DXG262158:DXP262162 EHC262158:EHL262162 EQY262158:ERH262162 FAU262158:FBD262162 FKQ262158:FKZ262162 FUM262158:FUV262162 GEI262158:GER262162 GOE262158:GON262162 GYA262158:GYJ262162 HHW262158:HIF262162 HRS262158:HSB262162 IBO262158:IBX262162 ILK262158:ILT262162 IVG262158:IVP262162 JFC262158:JFL262162 JOY262158:JPH262162 JYU262158:JZD262162 KIQ262158:KIZ262162 KSM262158:KSV262162 LCI262158:LCR262162 LME262158:LMN262162 LWA262158:LWJ262162 MFW262158:MGF262162 MPS262158:MQB262162 MZO262158:MZX262162 NJK262158:NJT262162 NTG262158:NTP262162 ODC262158:ODL262162 OMY262158:ONH262162 OWU262158:OXD262162 PGQ262158:PGZ262162 PQM262158:PQV262162 QAI262158:QAR262162 QKE262158:QKN262162 QUA262158:QUJ262162 RDW262158:REF262162 RNS262158:ROB262162 RXO262158:RXX262162 SHK262158:SHT262162 SRG262158:SRP262162 TBC262158:TBL262162 TKY262158:TLH262162 TUU262158:TVD262162 UEQ262158:UEZ262162 UOM262158:UOV262162 UYI262158:UYR262162 VIE262158:VIN262162 VSA262158:VSJ262162 WBW262158:WCF262162 WLS262158:WMB262162 WVO262158:WVX262162 G327694:P327698 JC327694:JL327698 SY327694:TH327698 ACU327694:ADD327698 AMQ327694:AMZ327698 AWM327694:AWV327698 BGI327694:BGR327698 BQE327694:BQN327698 CAA327694:CAJ327698 CJW327694:CKF327698 CTS327694:CUB327698 DDO327694:DDX327698 DNK327694:DNT327698 DXG327694:DXP327698 EHC327694:EHL327698 EQY327694:ERH327698 FAU327694:FBD327698 FKQ327694:FKZ327698 FUM327694:FUV327698 GEI327694:GER327698 GOE327694:GON327698 GYA327694:GYJ327698 HHW327694:HIF327698 HRS327694:HSB327698 IBO327694:IBX327698 ILK327694:ILT327698 IVG327694:IVP327698 JFC327694:JFL327698 JOY327694:JPH327698 JYU327694:JZD327698 KIQ327694:KIZ327698 KSM327694:KSV327698 LCI327694:LCR327698 LME327694:LMN327698 LWA327694:LWJ327698 MFW327694:MGF327698 MPS327694:MQB327698 MZO327694:MZX327698 NJK327694:NJT327698 NTG327694:NTP327698 ODC327694:ODL327698 OMY327694:ONH327698 OWU327694:OXD327698 PGQ327694:PGZ327698 PQM327694:PQV327698 QAI327694:QAR327698 QKE327694:QKN327698 QUA327694:QUJ327698 RDW327694:REF327698 RNS327694:ROB327698 RXO327694:RXX327698 SHK327694:SHT327698 SRG327694:SRP327698 TBC327694:TBL327698 TKY327694:TLH327698 TUU327694:TVD327698 UEQ327694:UEZ327698 UOM327694:UOV327698 UYI327694:UYR327698 VIE327694:VIN327698 VSA327694:VSJ327698 WBW327694:WCF327698 WLS327694:WMB327698 WVO327694:WVX327698 G393230:P393234 JC393230:JL393234 SY393230:TH393234 ACU393230:ADD393234 AMQ393230:AMZ393234 AWM393230:AWV393234 BGI393230:BGR393234 BQE393230:BQN393234 CAA393230:CAJ393234 CJW393230:CKF393234 CTS393230:CUB393234 DDO393230:DDX393234 DNK393230:DNT393234 DXG393230:DXP393234 EHC393230:EHL393234 EQY393230:ERH393234 FAU393230:FBD393234 FKQ393230:FKZ393234 FUM393230:FUV393234 GEI393230:GER393234 GOE393230:GON393234 GYA393230:GYJ393234 HHW393230:HIF393234 HRS393230:HSB393234 IBO393230:IBX393234 ILK393230:ILT393234 IVG393230:IVP393234 JFC393230:JFL393234 JOY393230:JPH393234 JYU393230:JZD393234 KIQ393230:KIZ393234 KSM393230:KSV393234 LCI393230:LCR393234 LME393230:LMN393234 LWA393230:LWJ393234 MFW393230:MGF393234 MPS393230:MQB393234 MZO393230:MZX393234 NJK393230:NJT393234 NTG393230:NTP393234 ODC393230:ODL393234 OMY393230:ONH393234 OWU393230:OXD393234 PGQ393230:PGZ393234 PQM393230:PQV393234 QAI393230:QAR393234 QKE393230:QKN393234 QUA393230:QUJ393234 RDW393230:REF393234 RNS393230:ROB393234 RXO393230:RXX393234 SHK393230:SHT393234 SRG393230:SRP393234 TBC393230:TBL393234 TKY393230:TLH393234 TUU393230:TVD393234 UEQ393230:UEZ393234 UOM393230:UOV393234 UYI393230:UYR393234 VIE393230:VIN393234 VSA393230:VSJ393234 WBW393230:WCF393234 WLS393230:WMB393234 WVO393230:WVX393234 G458766:P458770 JC458766:JL458770 SY458766:TH458770 ACU458766:ADD458770 AMQ458766:AMZ458770 AWM458766:AWV458770 BGI458766:BGR458770 BQE458766:BQN458770 CAA458766:CAJ458770 CJW458766:CKF458770 CTS458766:CUB458770 DDO458766:DDX458770 DNK458766:DNT458770 DXG458766:DXP458770 EHC458766:EHL458770 EQY458766:ERH458770 FAU458766:FBD458770 FKQ458766:FKZ458770 FUM458766:FUV458770 GEI458766:GER458770 GOE458766:GON458770 GYA458766:GYJ458770 HHW458766:HIF458770 HRS458766:HSB458770 IBO458766:IBX458770 ILK458766:ILT458770 IVG458766:IVP458770 JFC458766:JFL458770 JOY458766:JPH458770 JYU458766:JZD458770 KIQ458766:KIZ458770 KSM458766:KSV458770 LCI458766:LCR458770 LME458766:LMN458770 LWA458766:LWJ458770 MFW458766:MGF458770 MPS458766:MQB458770 MZO458766:MZX458770 NJK458766:NJT458770 NTG458766:NTP458770 ODC458766:ODL458770 OMY458766:ONH458770 OWU458766:OXD458770 PGQ458766:PGZ458770 PQM458766:PQV458770 QAI458766:QAR458770 QKE458766:QKN458770 QUA458766:QUJ458770 RDW458766:REF458770 RNS458766:ROB458770 RXO458766:RXX458770 SHK458766:SHT458770 SRG458766:SRP458770 TBC458766:TBL458770 TKY458766:TLH458770 TUU458766:TVD458770 UEQ458766:UEZ458770 UOM458766:UOV458770 UYI458766:UYR458770 VIE458766:VIN458770 VSA458766:VSJ458770 WBW458766:WCF458770 WLS458766:WMB458770 WVO458766:WVX458770 G524302:P524306 JC524302:JL524306 SY524302:TH524306 ACU524302:ADD524306 AMQ524302:AMZ524306 AWM524302:AWV524306 BGI524302:BGR524306 BQE524302:BQN524306 CAA524302:CAJ524306 CJW524302:CKF524306 CTS524302:CUB524306 DDO524302:DDX524306 DNK524302:DNT524306 DXG524302:DXP524306 EHC524302:EHL524306 EQY524302:ERH524306 FAU524302:FBD524306 FKQ524302:FKZ524306 FUM524302:FUV524306 GEI524302:GER524306 GOE524302:GON524306 GYA524302:GYJ524306 HHW524302:HIF524306 HRS524302:HSB524306 IBO524302:IBX524306 ILK524302:ILT524306 IVG524302:IVP524306 JFC524302:JFL524306 JOY524302:JPH524306 JYU524302:JZD524306 KIQ524302:KIZ524306 KSM524302:KSV524306 LCI524302:LCR524306 LME524302:LMN524306 LWA524302:LWJ524306 MFW524302:MGF524306 MPS524302:MQB524306 MZO524302:MZX524306 NJK524302:NJT524306 NTG524302:NTP524306 ODC524302:ODL524306 OMY524302:ONH524306 OWU524302:OXD524306 PGQ524302:PGZ524306 PQM524302:PQV524306 QAI524302:QAR524306 QKE524302:QKN524306 QUA524302:QUJ524306 RDW524302:REF524306 RNS524302:ROB524306 RXO524302:RXX524306 SHK524302:SHT524306 SRG524302:SRP524306 TBC524302:TBL524306 TKY524302:TLH524306 TUU524302:TVD524306 UEQ524302:UEZ524306 UOM524302:UOV524306 UYI524302:UYR524306 VIE524302:VIN524306 VSA524302:VSJ524306 WBW524302:WCF524306 WLS524302:WMB524306 WVO524302:WVX524306 G589838:P589842 JC589838:JL589842 SY589838:TH589842 ACU589838:ADD589842 AMQ589838:AMZ589842 AWM589838:AWV589842 BGI589838:BGR589842 BQE589838:BQN589842 CAA589838:CAJ589842 CJW589838:CKF589842 CTS589838:CUB589842 DDO589838:DDX589842 DNK589838:DNT589842 DXG589838:DXP589842 EHC589838:EHL589842 EQY589838:ERH589842 FAU589838:FBD589842 FKQ589838:FKZ589842 FUM589838:FUV589842 GEI589838:GER589842 GOE589838:GON589842 GYA589838:GYJ589842 HHW589838:HIF589842 HRS589838:HSB589842 IBO589838:IBX589842 ILK589838:ILT589842 IVG589838:IVP589842 JFC589838:JFL589842 JOY589838:JPH589842 JYU589838:JZD589842 KIQ589838:KIZ589842 KSM589838:KSV589842 LCI589838:LCR589842 LME589838:LMN589842 LWA589838:LWJ589842 MFW589838:MGF589842 MPS589838:MQB589842 MZO589838:MZX589842 NJK589838:NJT589842 NTG589838:NTP589842 ODC589838:ODL589842 OMY589838:ONH589842 OWU589838:OXD589842 PGQ589838:PGZ589842 PQM589838:PQV589842 QAI589838:QAR589842 QKE589838:QKN589842 QUA589838:QUJ589842 RDW589838:REF589842 RNS589838:ROB589842 RXO589838:RXX589842 SHK589838:SHT589842 SRG589838:SRP589842 TBC589838:TBL589842 TKY589838:TLH589842 TUU589838:TVD589842 UEQ589838:UEZ589842 UOM589838:UOV589842 UYI589838:UYR589842 VIE589838:VIN589842 VSA589838:VSJ589842 WBW589838:WCF589842 WLS589838:WMB589842 WVO589838:WVX589842 G655374:P655378 JC655374:JL655378 SY655374:TH655378 ACU655374:ADD655378 AMQ655374:AMZ655378 AWM655374:AWV655378 BGI655374:BGR655378 BQE655374:BQN655378 CAA655374:CAJ655378 CJW655374:CKF655378 CTS655374:CUB655378 DDO655374:DDX655378 DNK655374:DNT655378 DXG655374:DXP655378 EHC655374:EHL655378 EQY655374:ERH655378 FAU655374:FBD655378 FKQ655374:FKZ655378 FUM655374:FUV655378 GEI655374:GER655378 GOE655374:GON655378 GYA655374:GYJ655378 HHW655374:HIF655378 HRS655374:HSB655378 IBO655374:IBX655378 ILK655374:ILT655378 IVG655374:IVP655378 JFC655374:JFL655378 JOY655374:JPH655378 JYU655374:JZD655378 KIQ655374:KIZ655378 KSM655374:KSV655378 LCI655374:LCR655378 LME655374:LMN655378 LWA655374:LWJ655378 MFW655374:MGF655378 MPS655374:MQB655378 MZO655374:MZX655378 NJK655374:NJT655378 NTG655374:NTP655378 ODC655374:ODL655378 OMY655374:ONH655378 OWU655374:OXD655378 PGQ655374:PGZ655378 PQM655374:PQV655378 QAI655374:QAR655378 QKE655374:QKN655378 QUA655374:QUJ655378 RDW655374:REF655378 RNS655374:ROB655378 RXO655374:RXX655378 SHK655374:SHT655378 SRG655374:SRP655378 TBC655374:TBL655378 TKY655374:TLH655378 TUU655374:TVD655378 UEQ655374:UEZ655378 UOM655374:UOV655378 UYI655374:UYR655378 VIE655374:VIN655378 VSA655374:VSJ655378 WBW655374:WCF655378 WLS655374:WMB655378 WVO655374:WVX655378 G720910:P720914 JC720910:JL720914 SY720910:TH720914 ACU720910:ADD720914 AMQ720910:AMZ720914 AWM720910:AWV720914 BGI720910:BGR720914 BQE720910:BQN720914 CAA720910:CAJ720914 CJW720910:CKF720914 CTS720910:CUB720914 DDO720910:DDX720914 DNK720910:DNT720914 DXG720910:DXP720914 EHC720910:EHL720914 EQY720910:ERH720914 FAU720910:FBD720914 FKQ720910:FKZ720914 FUM720910:FUV720914 GEI720910:GER720914 GOE720910:GON720914 GYA720910:GYJ720914 HHW720910:HIF720914 HRS720910:HSB720914 IBO720910:IBX720914 ILK720910:ILT720914 IVG720910:IVP720914 JFC720910:JFL720914 JOY720910:JPH720914 JYU720910:JZD720914 KIQ720910:KIZ720914 KSM720910:KSV720914 LCI720910:LCR720914 LME720910:LMN720914 LWA720910:LWJ720914 MFW720910:MGF720914 MPS720910:MQB720914 MZO720910:MZX720914 NJK720910:NJT720914 NTG720910:NTP720914 ODC720910:ODL720914 OMY720910:ONH720914 OWU720910:OXD720914 PGQ720910:PGZ720914 PQM720910:PQV720914 QAI720910:QAR720914 QKE720910:QKN720914 QUA720910:QUJ720914 RDW720910:REF720914 RNS720910:ROB720914 RXO720910:RXX720914 SHK720910:SHT720914 SRG720910:SRP720914 TBC720910:TBL720914 TKY720910:TLH720914 TUU720910:TVD720914 UEQ720910:UEZ720914 UOM720910:UOV720914 UYI720910:UYR720914 VIE720910:VIN720914 VSA720910:VSJ720914 WBW720910:WCF720914 WLS720910:WMB720914 WVO720910:WVX720914 G786446:P786450 JC786446:JL786450 SY786446:TH786450 ACU786446:ADD786450 AMQ786446:AMZ786450 AWM786446:AWV786450 BGI786446:BGR786450 BQE786446:BQN786450 CAA786446:CAJ786450 CJW786446:CKF786450 CTS786446:CUB786450 DDO786446:DDX786450 DNK786446:DNT786450 DXG786446:DXP786450 EHC786446:EHL786450 EQY786446:ERH786450 FAU786446:FBD786450 FKQ786446:FKZ786450 FUM786446:FUV786450 GEI786446:GER786450 GOE786446:GON786450 GYA786446:GYJ786450 HHW786446:HIF786450 HRS786446:HSB786450 IBO786446:IBX786450 ILK786446:ILT786450 IVG786446:IVP786450 JFC786446:JFL786450 JOY786446:JPH786450 JYU786446:JZD786450 KIQ786446:KIZ786450 KSM786446:KSV786450 LCI786446:LCR786450 LME786446:LMN786450 LWA786446:LWJ786450 MFW786446:MGF786450 MPS786446:MQB786450 MZO786446:MZX786450 NJK786446:NJT786450 NTG786446:NTP786450 ODC786446:ODL786450 OMY786446:ONH786450 OWU786446:OXD786450 PGQ786446:PGZ786450 PQM786446:PQV786450 QAI786446:QAR786450 QKE786446:QKN786450 QUA786446:QUJ786450 RDW786446:REF786450 RNS786446:ROB786450 RXO786446:RXX786450 SHK786446:SHT786450 SRG786446:SRP786450 TBC786446:TBL786450 TKY786446:TLH786450 TUU786446:TVD786450 UEQ786446:UEZ786450 UOM786446:UOV786450 UYI786446:UYR786450 VIE786446:VIN786450 VSA786446:VSJ786450 WBW786446:WCF786450 WLS786446:WMB786450 WVO786446:WVX786450 G851982:P851986 JC851982:JL851986 SY851982:TH851986 ACU851982:ADD851986 AMQ851982:AMZ851986 AWM851982:AWV851986 BGI851982:BGR851986 BQE851982:BQN851986 CAA851982:CAJ851986 CJW851982:CKF851986 CTS851982:CUB851986 DDO851982:DDX851986 DNK851982:DNT851986 DXG851982:DXP851986 EHC851982:EHL851986 EQY851982:ERH851986 FAU851982:FBD851986 FKQ851982:FKZ851986 FUM851982:FUV851986 GEI851982:GER851986 GOE851982:GON851986 GYA851982:GYJ851986 HHW851982:HIF851986 HRS851982:HSB851986 IBO851982:IBX851986 ILK851982:ILT851986 IVG851982:IVP851986 JFC851982:JFL851986 JOY851982:JPH851986 JYU851982:JZD851986 KIQ851982:KIZ851986 KSM851982:KSV851986 LCI851982:LCR851986 LME851982:LMN851986 LWA851982:LWJ851986 MFW851982:MGF851986 MPS851982:MQB851986 MZO851982:MZX851986 NJK851982:NJT851986 NTG851982:NTP851986 ODC851982:ODL851986 OMY851982:ONH851986 OWU851982:OXD851986 PGQ851982:PGZ851986 PQM851982:PQV851986 QAI851982:QAR851986 QKE851982:QKN851986 QUA851982:QUJ851986 RDW851982:REF851986 RNS851982:ROB851986 RXO851982:RXX851986 SHK851982:SHT851986 SRG851982:SRP851986 TBC851982:TBL851986 TKY851982:TLH851986 TUU851982:TVD851986 UEQ851982:UEZ851986 UOM851982:UOV851986 UYI851982:UYR851986 VIE851982:VIN851986 VSA851982:VSJ851986 WBW851982:WCF851986 WLS851982:WMB851986 WVO851982:WVX851986 G917518:P917522 JC917518:JL917522 SY917518:TH917522 ACU917518:ADD917522 AMQ917518:AMZ917522 AWM917518:AWV917522 BGI917518:BGR917522 BQE917518:BQN917522 CAA917518:CAJ917522 CJW917518:CKF917522 CTS917518:CUB917522 DDO917518:DDX917522 DNK917518:DNT917522 DXG917518:DXP917522 EHC917518:EHL917522 EQY917518:ERH917522 FAU917518:FBD917522 FKQ917518:FKZ917522 FUM917518:FUV917522 GEI917518:GER917522 GOE917518:GON917522 GYA917518:GYJ917522 HHW917518:HIF917522 HRS917518:HSB917522 IBO917518:IBX917522 ILK917518:ILT917522 IVG917518:IVP917522 JFC917518:JFL917522 JOY917518:JPH917522 JYU917518:JZD917522 KIQ917518:KIZ917522 KSM917518:KSV917522 LCI917518:LCR917522 LME917518:LMN917522 LWA917518:LWJ917522 MFW917518:MGF917522 MPS917518:MQB917522 MZO917518:MZX917522 NJK917518:NJT917522 NTG917518:NTP917522 ODC917518:ODL917522 OMY917518:ONH917522 OWU917518:OXD917522 PGQ917518:PGZ917522 PQM917518:PQV917522 QAI917518:QAR917522 QKE917518:QKN917522 QUA917518:QUJ917522 RDW917518:REF917522 RNS917518:ROB917522 RXO917518:RXX917522 SHK917518:SHT917522 SRG917518:SRP917522 TBC917518:TBL917522 TKY917518:TLH917522 TUU917518:TVD917522 UEQ917518:UEZ917522 UOM917518:UOV917522 UYI917518:UYR917522 VIE917518:VIN917522 VSA917518:VSJ917522 WBW917518:WCF917522 WLS917518:WMB917522 WVO917518:WVX917522 G983054:P983058 JC983054:JL983058 SY983054:TH983058 ACU983054:ADD983058 AMQ983054:AMZ983058 AWM983054:AWV983058 BGI983054:BGR983058 BQE983054:BQN983058 CAA983054:CAJ983058 CJW983054:CKF983058 CTS983054:CUB983058 DDO983054:DDX983058 DNK983054:DNT983058 DXG983054:DXP983058 EHC983054:EHL983058 EQY983054:ERH983058 FAU983054:FBD983058 FKQ983054:FKZ983058 FUM983054:FUV983058 GEI983054:GER983058 GOE983054:GON983058 GYA983054:GYJ983058 HHW983054:HIF983058 HRS983054:HSB983058 IBO983054:IBX983058 ILK983054:ILT983058 IVG983054:IVP983058 JFC983054:JFL983058 JOY983054:JPH983058 JYU983054:JZD983058 KIQ983054:KIZ983058 KSM983054:KSV983058 LCI983054:LCR983058 LME983054:LMN983058 LWA983054:LWJ983058 MFW983054:MGF983058 MPS983054:MQB983058 MZO983054:MZX983058 NJK983054:NJT983058 NTG983054:NTP983058 ODC983054:ODL983058 OMY983054:ONH983058 OWU983054:OXD983058 PGQ983054:PGZ983058 PQM983054:PQV983058 QAI983054:QAR983058 QKE983054:QKN983058 QUA983054:QUJ983058 RDW983054:REF983058 RNS983054:ROB983058 RXO983054:RXX983058 SHK983054:SHT983058 SRG983054:SRP983058 TBC983054:TBL983058 TKY983054:TLH983058 TUU983054:TVD983058 UEQ983054:UEZ983058 UOM983054:UOV983058 UYI983054:UYR983058 VIE983054:VIN983058 VSA983054:VSJ983058 WBW983054:WCF983058 WLS983054:WMB983058 WVO983054:WVX983058 G96:P96 JC96:JL96 SY96:TH96 ACU96:ADD96 AMQ96:AMZ96 AWM96:AWV96 BGI96:BGR96 BQE96:BQN96 CAA96:CAJ96 CJW96:CKF96 CTS96:CUB96 DDO96:DDX96 DNK96:DNT96 DXG96:DXP96 EHC96:EHL96 EQY96:ERH96 FAU96:FBD96 FKQ96:FKZ96 FUM96:FUV96 GEI96:GER96 GOE96:GON96 GYA96:GYJ96 HHW96:HIF96 HRS96:HSB96 IBO96:IBX96 ILK96:ILT96 IVG96:IVP96 JFC96:JFL96 JOY96:JPH96 JYU96:JZD96 KIQ96:KIZ96 KSM96:KSV96 LCI96:LCR96 LME96:LMN96 LWA96:LWJ96 MFW96:MGF96 MPS96:MQB96 MZO96:MZX96 NJK96:NJT96 NTG96:NTP96 ODC96:ODL96 OMY96:ONH96 OWU96:OXD96 PGQ96:PGZ96 PQM96:PQV96 QAI96:QAR96 QKE96:QKN96 QUA96:QUJ96 RDW96:REF96 RNS96:ROB96 RXO96:RXX96 SHK96:SHT96 SRG96:SRP96 TBC96:TBL96 TKY96:TLH96 TUU96:TVD96 UEQ96:UEZ96 UOM96:UOV96 UYI96:UYR96 VIE96:VIN96 VSA96:VSJ96 WBW96:WCF96 WLS96:WMB96 WVO96:WVX96 G65632:P65632 JC65632:JL65632 SY65632:TH65632 ACU65632:ADD65632 AMQ65632:AMZ65632 AWM65632:AWV65632 BGI65632:BGR65632 BQE65632:BQN65632 CAA65632:CAJ65632 CJW65632:CKF65632 CTS65632:CUB65632 DDO65632:DDX65632 DNK65632:DNT65632 DXG65632:DXP65632 EHC65632:EHL65632 EQY65632:ERH65632 FAU65632:FBD65632 FKQ65632:FKZ65632 FUM65632:FUV65632 GEI65632:GER65632 GOE65632:GON65632 GYA65632:GYJ65632 HHW65632:HIF65632 HRS65632:HSB65632 IBO65632:IBX65632 ILK65632:ILT65632 IVG65632:IVP65632 JFC65632:JFL65632 JOY65632:JPH65632 JYU65632:JZD65632 KIQ65632:KIZ65632 KSM65632:KSV65632 LCI65632:LCR65632 LME65632:LMN65632 LWA65632:LWJ65632 MFW65632:MGF65632 MPS65632:MQB65632 MZO65632:MZX65632 NJK65632:NJT65632 NTG65632:NTP65632 ODC65632:ODL65632 OMY65632:ONH65632 OWU65632:OXD65632 PGQ65632:PGZ65632 PQM65632:PQV65632 QAI65632:QAR65632 QKE65632:QKN65632 QUA65632:QUJ65632 RDW65632:REF65632 RNS65632:ROB65632 RXO65632:RXX65632 SHK65632:SHT65632 SRG65632:SRP65632 TBC65632:TBL65632 TKY65632:TLH65632 TUU65632:TVD65632 UEQ65632:UEZ65632 UOM65632:UOV65632 UYI65632:UYR65632 VIE65632:VIN65632 VSA65632:VSJ65632 WBW65632:WCF65632 WLS65632:WMB65632 WVO65632:WVX65632 G131168:P131168 JC131168:JL131168 SY131168:TH131168 ACU131168:ADD131168 AMQ131168:AMZ131168 AWM131168:AWV131168 BGI131168:BGR131168 BQE131168:BQN131168 CAA131168:CAJ131168 CJW131168:CKF131168 CTS131168:CUB131168 DDO131168:DDX131168 DNK131168:DNT131168 DXG131168:DXP131168 EHC131168:EHL131168 EQY131168:ERH131168 FAU131168:FBD131168 FKQ131168:FKZ131168 FUM131168:FUV131168 GEI131168:GER131168 GOE131168:GON131168 GYA131168:GYJ131168 HHW131168:HIF131168 HRS131168:HSB131168 IBO131168:IBX131168 ILK131168:ILT131168 IVG131168:IVP131168 JFC131168:JFL131168 JOY131168:JPH131168 JYU131168:JZD131168 KIQ131168:KIZ131168 KSM131168:KSV131168 LCI131168:LCR131168 LME131168:LMN131168 LWA131168:LWJ131168 MFW131168:MGF131168 MPS131168:MQB131168 MZO131168:MZX131168 NJK131168:NJT131168 NTG131168:NTP131168 ODC131168:ODL131168 OMY131168:ONH131168 OWU131168:OXD131168 PGQ131168:PGZ131168 PQM131168:PQV131168 QAI131168:QAR131168 QKE131168:QKN131168 QUA131168:QUJ131168 RDW131168:REF131168 RNS131168:ROB131168 RXO131168:RXX131168 SHK131168:SHT131168 SRG131168:SRP131168 TBC131168:TBL131168 TKY131168:TLH131168 TUU131168:TVD131168 UEQ131168:UEZ131168 UOM131168:UOV131168 UYI131168:UYR131168 VIE131168:VIN131168 VSA131168:VSJ131168 WBW131168:WCF131168 WLS131168:WMB131168 WVO131168:WVX131168 G196704:P196704 JC196704:JL196704 SY196704:TH196704 ACU196704:ADD196704 AMQ196704:AMZ196704 AWM196704:AWV196704 BGI196704:BGR196704 BQE196704:BQN196704 CAA196704:CAJ196704 CJW196704:CKF196704 CTS196704:CUB196704 DDO196704:DDX196704 DNK196704:DNT196704 DXG196704:DXP196704 EHC196704:EHL196704 EQY196704:ERH196704 FAU196704:FBD196704 FKQ196704:FKZ196704 FUM196704:FUV196704 GEI196704:GER196704 GOE196704:GON196704 GYA196704:GYJ196704 HHW196704:HIF196704 HRS196704:HSB196704 IBO196704:IBX196704 ILK196704:ILT196704 IVG196704:IVP196704 JFC196704:JFL196704 JOY196704:JPH196704 JYU196704:JZD196704 KIQ196704:KIZ196704 KSM196704:KSV196704 LCI196704:LCR196704 LME196704:LMN196704 LWA196704:LWJ196704 MFW196704:MGF196704 MPS196704:MQB196704 MZO196704:MZX196704 NJK196704:NJT196704 NTG196704:NTP196704 ODC196704:ODL196704 OMY196704:ONH196704 OWU196704:OXD196704 PGQ196704:PGZ196704 PQM196704:PQV196704 QAI196704:QAR196704 QKE196704:QKN196704 QUA196704:QUJ196704 RDW196704:REF196704 RNS196704:ROB196704 RXO196704:RXX196704 SHK196704:SHT196704 SRG196704:SRP196704 TBC196704:TBL196704 TKY196704:TLH196704 TUU196704:TVD196704 UEQ196704:UEZ196704 UOM196704:UOV196704 UYI196704:UYR196704 VIE196704:VIN196704 VSA196704:VSJ196704 WBW196704:WCF196704 WLS196704:WMB196704 WVO196704:WVX196704 G262240:P262240 JC262240:JL262240 SY262240:TH262240 ACU262240:ADD262240 AMQ262240:AMZ262240 AWM262240:AWV262240 BGI262240:BGR262240 BQE262240:BQN262240 CAA262240:CAJ262240 CJW262240:CKF262240 CTS262240:CUB262240 DDO262240:DDX262240 DNK262240:DNT262240 DXG262240:DXP262240 EHC262240:EHL262240 EQY262240:ERH262240 FAU262240:FBD262240 FKQ262240:FKZ262240 FUM262240:FUV262240 GEI262240:GER262240 GOE262240:GON262240 GYA262240:GYJ262240 HHW262240:HIF262240 HRS262240:HSB262240 IBO262240:IBX262240 ILK262240:ILT262240 IVG262240:IVP262240 JFC262240:JFL262240 JOY262240:JPH262240 JYU262240:JZD262240 KIQ262240:KIZ262240 KSM262240:KSV262240 LCI262240:LCR262240 LME262240:LMN262240 LWA262240:LWJ262240 MFW262240:MGF262240 MPS262240:MQB262240 MZO262240:MZX262240 NJK262240:NJT262240 NTG262240:NTP262240 ODC262240:ODL262240 OMY262240:ONH262240 OWU262240:OXD262240 PGQ262240:PGZ262240 PQM262240:PQV262240 QAI262240:QAR262240 QKE262240:QKN262240 QUA262240:QUJ262240 RDW262240:REF262240 RNS262240:ROB262240 RXO262240:RXX262240 SHK262240:SHT262240 SRG262240:SRP262240 TBC262240:TBL262240 TKY262240:TLH262240 TUU262240:TVD262240 UEQ262240:UEZ262240 UOM262240:UOV262240 UYI262240:UYR262240 VIE262240:VIN262240 VSA262240:VSJ262240 WBW262240:WCF262240 WLS262240:WMB262240 WVO262240:WVX262240 G327776:P327776 JC327776:JL327776 SY327776:TH327776 ACU327776:ADD327776 AMQ327776:AMZ327776 AWM327776:AWV327776 BGI327776:BGR327776 BQE327776:BQN327776 CAA327776:CAJ327776 CJW327776:CKF327776 CTS327776:CUB327776 DDO327776:DDX327776 DNK327776:DNT327776 DXG327776:DXP327776 EHC327776:EHL327776 EQY327776:ERH327776 FAU327776:FBD327776 FKQ327776:FKZ327776 FUM327776:FUV327776 GEI327776:GER327776 GOE327776:GON327776 GYA327776:GYJ327776 HHW327776:HIF327776 HRS327776:HSB327776 IBO327776:IBX327776 ILK327776:ILT327776 IVG327776:IVP327776 JFC327776:JFL327776 JOY327776:JPH327776 JYU327776:JZD327776 KIQ327776:KIZ327776 KSM327776:KSV327776 LCI327776:LCR327776 LME327776:LMN327776 LWA327776:LWJ327776 MFW327776:MGF327776 MPS327776:MQB327776 MZO327776:MZX327776 NJK327776:NJT327776 NTG327776:NTP327776 ODC327776:ODL327776 OMY327776:ONH327776 OWU327776:OXD327776 PGQ327776:PGZ327776 PQM327776:PQV327776 QAI327776:QAR327776 QKE327776:QKN327776 QUA327776:QUJ327776 RDW327776:REF327776 RNS327776:ROB327776 RXO327776:RXX327776 SHK327776:SHT327776 SRG327776:SRP327776 TBC327776:TBL327776 TKY327776:TLH327776 TUU327776:TVD327776 UEQ327776:UEZ327776 UOM327776:UOV327776 UYI327776:UYR327776 VIE327776:VIN327776 VSA327776:VSJ327776 WBW327776:WCF327776 WLS327776:WMB327776 WVO327776:WVX327776 G393312:P393312 JC393312:JL393312 SY393312:TH393312 ACU393312:ADD393312 AMQ393312:AMZ393312 AWM393312:AWV393312 BGI393312:BGR393312 BQE393312:BQN393312 CAA393312:CAJ393312 CJW393312:CKF393312 CTS393312:CUB393312 DDO393312:DDX393312 DNK393312:DNT393312 DXG393312:DXP393312 EHC393312:EHL393312 EQY393312:ERH393312 FAU393312:FBD393312 FKQ393312:FKZ393312 FUM393312:FUV393312 GEI393312:GER393312 GOE393312:GON393312 GYA393312:GYJ393312 HHW393312:HIF393312 HRS393312:HSB393312 IBO393312:IBX393312 ILK393312:ILT393312 IVG393312:IVP393312 JFC393312:JFL393312 JOY393312:JPH393312 JYU393312:JZD393312 KIQ393312:KIZ393312 KSM393312:KSV393312 LCI393312:LCR393312 LME393312:LMN393312 LWA393312:LWJ393312 MFW393312:MGF393312 MPS393312:MQB393312 MZO393312:MZX393312 NJK393312:NJT393312 NTG393312:NTP393312 ODC393312:ODL393312 OMY393312:ONH393312 OWU393312:OXD393312 PGQ393312:PGZ393312 PQM393312:PQV393312 QAI393312:QAR393312 QKE393312:QKN393312 QUA393312:QUJ393312 RDW393312:REF393312 RNS393312:ROB393312 RXO393312:RXX393312 SHK393312:SHT393312 SRG393312:SRP393312 TBC393312:TBL393312 TKY393312:TLH393312 TUU393312:TVD393312 UEQ393312:UEZ393312 UOM393312:UOV393312 UYI393312:UYR393312 VIE393312:VIN393312 VSA393312:VSJ393312 WBW393312:WCF393312 WLS393312:WMB393312 WVO393312:WVX393312 G458848:P458848 JC458848:JL458848 SY458848:TH458848 ACU458848:ADD458848 AMQ458848:AMZ458848 AWM458848:AWV458848 BGI458848:BGR458848 BQE458848:BQN458848 CAA458848:CAJ458848 CJW458848:CKF458848 CTS458848:CUB458848 DDO458848:DDX458848 DNK458848:DNT458848 DXG458848:DXP458848 EHC458848:EHL458848 EQY458848:ERH458848 FAU458848:FBD458848 FKQ458848:FKZ458848 FUM458848:FUV458848 GEI458848:GER458848 GOE458848:GON458848 GYA458848:GYJ458848 HHW458848:HIF458848 HRS458848:HSB458848 IBO458848:IBX458848 ILK458848:ILT458848 IVG458848:IVP458848 JFC458848:JFL458848 JOY458848:JPH458848 JYU458848:JZD458848 KIQ458848:KIZ458848 KSM458848:KSV458848 LCI458848:LCR458848 LME458848:LMN458848 LWA458848:LWJ458848 MFW458848:MGF458848 MPS458848:MQB458848 MZO458848:MZX458848 NJK458848:NJT458848 NTG458848:NTP458848 ODC458848:ODL458848 OMY458848:ONH458848 OWU458848:OXD458848 PGQ458848:PGZ458848 PQM458848:PQV458848 QAI458848:QAR458848 QKE458848:QKN458848 QUA458848:QUJ458848 RDW458848:REF458848 RNS458848:ROB458848 RXO458848:RXX458848 SHK458848:SHT458848 SRG458848:SRP458848 TBC458848:TBL458848 TKY458848:TLH458848 TUU458848:TVD458848 UEQ458848:UEZ458848 UOM458848:UOV458848 UYI458848:UYR458848 VIE458848:VIN458848 VSA458848:VSJ458848 WBW458848:WCF458848 WLS458848:WMB458848 WVO458848:WVX458848 G524384:P524384 JC524384:JL524384 SY524384:TH524384 ACU524384:ADD524384 AMQ524384:AMZ524384 AWM524384:AWV524384 BGI524384:BGR524384 BQE524384:BQN524384 CAA524384:CAJ524384 CJW524384:CKF524384 CTS524384:CUB524384 DDO524384:DDX524384 DNK524384:DNT524384 DXG524384:DXP524384 EHC524384:EHL524384 EQY524384:ERH524384 FAU524384:FBD524384 FKQ524384:FKZ524384 FUM524384:FUV524384 GEI524384:GER524384 GOE524384:GON524384 GYA524384:GYJ524384 HHW524384:HIF524384 HRS524384:HSB524384 IBO524384:IBX524384 ILK524384:ILT524384 IVG524384:IVP524384 JFC524384:JFL524384 JOY524384:JPH524384 JYU524384:JZD524384 KIQ524384:KIZ524384 KSM524384:KSV524384 LCI524384:LCR524384 LME524384:LMN524384 LWA524384:LWJ524384 MFW524384:MGF524384 MPS524384:MQB524384 MZO524384:MZX524384 NJK524384:NJT524384 NTG524384:NTP524384 ODC524384:ODL524384 OMY524384:ONH524384 OWU524384:OXD524384 PGQ524384:PGZ524384 PQM524384:PQV524384 QAI524384:QAR524384 QKE524384:QKN524384 QUA524384:QUJ524384 RDW524384:REF524384 RNS524384:ROB524384 RXO524384:RXX524384 SHK524384:SHT524384 SRG524384:SRP524384 TBC524384:TBL524384 TKY524384:TLH524384 TUU524384:TVD524384 UEQ524384:UEZ524384 UOM524384:UOV524384 UYI524384:UYR524384 VIE524384:VIN524384 VSA524384:VSJ524384 WBW524384:WCF524384 WLS524384:WMB524384 WVO524384:WVX524384 G589920:P589920 JC589920:JL589920 SY589920:TH589920 ACU589920:ADD589920 AMQ589920:AMZ589920 AWM589920:AWV589920 BGI589920:BGR589920 BQE589920:BQN589920 CAA589920:CAJ589920 CJW589920:CKF589920 CTS589920:CUB589920 DDO589920:DDX589920 DNK589920:DNT589920 DXG589920:DXP589920 EHC589920:EHL589920 EQY589920:ERH589920 FAU589920:FBD589920 FKQ589920:FKZ589920 FUM589920:FUV589920 GEI589920:GER589920 GOE589920:GON589920 GYA589920:GYJ589920 HHW589920:HIF589920 HRS589920:HSB589920 IBO589920:IBX589920 ILK589920:ILT589920 IVG589920:IVP589920 JFC589920:JFL589920 JOY589920:JPH589920 JYU589920:JZD589920 KIQ589920:KIZ589920 KSM589920:KSV589920 LCI589920:LCR589920 LME589920:LMN589920 LWA589920:LWJ589920 MFW589920:MGF589920 MPS589920:MQB589920 MZO589920:MZX589920 NJK589920:NJT589920 NTG589920:NTP589920 ODC589920:ODL589920 OMY589920:ONH589920 OWU589920:OXD589920 PGQ589920:PGZ589920 PQM589920:PQV589920 QAI589920:QAR589920 QKE589920:QKN589920 QUA589920:QUJ589920 RDW589920:REF589920 RNS589920:ROB589920 RXO589920:RXX589920 SHK589920:SHT589920 SRG589920:SRP589920 TBC589920:TBL589920 TKY589920:TLH589920 TUU589920:TVD589920 UEQ589920:UEZ589920 UOM589920:UOV589920 UYI589920:UYR589920 VIE589920:VIN589920 VSA589920:VSJ589920 WBW589920:WCF589920 WLS589920:WMB589920 WVO589920:WVX589920 G655456:P655456 JC655456:JL655456 SY655456:TH655456 ACU655456:ADD655456 AMQ655456:AMZ655456 AWM655456:AWV655456 BGI655456:BGR655456 BQE655456:BQN655456 CAA655456:CAJ655456 CJW655456:CKF655456 CTS655456:CUB655456 DDO655456:DDX655456 DNK655456:DNT655456 DXG655456:DXP655456 EHC655456:EHL655456 EQY655456:ERH655456 FAU655456:FBD655456 FKQ655456:FKZ655456 FUM655456:FUV655456 GEI655456:GER655456 GOE655456:GON655456 GYA655456:GYJ655456 HHW655456:HIF655456 HRS655456:HSB655456 IBO655456:IBX655456 ILK655456:ILT655456 IVG655456:IVP655456 JFC655456:JFL655456 JOY655456:JPH655456 JYU655456:JZD655456 KIQ655456:KIZ655456 KSM655456:KSV655456 LCI655456:LCR655456 LME655456:LMN655456 LWA655456:LWJ655456 MFW655456:MGF655456 MPS655456:MQB655456 MZO655456:MZX655456 NJK655456:NJT655456 NTG655456:NTP655456 ODC655456:ODL655456 OMY655456:ONH655456 OWU655456:OXD655456 PGQ655456:PGZ655456 PQM655456:PQV655456 QAI655456:QAR655456 QKE655456:QKN655456 QUA655456:QUJ655456 RDW655456:REF655456 RNS655456:ROB655456 RXO655456:RXX655456 SHK655456:SHT655456 SRG655456:SRP655456 TBC655456:TBL655456 TKY655456:TLH655456 TUU655456:TVD655456 UEQ655456:UEZ655456 UOM655456:UOV655456 UYI655456:UYR655456 VIE655456:VIN655456 VSA655456:VSJ655456 WBW655456:WCF655456 WLS655456:WMB655456 WVO655456:WVX655456 G720992:P720992 JC720992:JL720992 SY720992:TH720992 ACU720992:ADD720992 AMQ720992:AMZ720992 AWM720992:AWV720992 BGI720992:BGR720992 BQE720992:BQN720992 CAA720992:CAJ720992 CJW720992:CKF720992 CTS720992:CUB720992 DDO720992:DDX720992 DNK720992:DNT720992 DXG720992:DXP720992 EHC720992:EHL720992 EQY720992:ERH720992 FAU720992:FBD720992 FKQ720992:FKZ720992 FUM720992:FUV720992 GEI720992:GER720992 GOE720992:GON720992 GYA720992:GYJ720992 HHW720992:HIF720992 HRS720992:HSB720992 IBO720992:IBX720992 ILK720992:ILT720992 IVG720992:IVP720992 JFC720992:JFL720992 JOY720992:JPH720992 JYU720992:JZD720992 KIQ720992:KIZ720992 KSM720992:KSV720992 LCI720992:LCR720992 LME720992:LMN720992 LWA720992:LWJ720992 MFW720992:MGF720992 MPS720992:MQB720992 MZO720992:MZX720992 NJK720992:NJT720992 NTG720992:NTP720992 ODC720992:ODL720992 OMY720992:ONH720992 OWU720992:OXD720992 PGQ720992:PGZ720992 PQM720992:PQV720992 QAI720992:QAR720992 QKE720992:QKN720992 QUA720992:QUJ720992 RDW720992:REF720992 RNS720992:ROB720992 RXO720992:RXX720992 SHK720992:SHT720992 SRG720992:SRP720992 TBC720992:TBL720992 TKY720992:TLH720992 TUU720992:TVD720992 UEQ720992:UEZ720992 UOM720992:UOV720992 UYI720992:UYR720992 VIE720992:VIN720992 VSA720992:VSJ720992 WBW720992:WCF720992 WLS720992:WMB720992 WVO720992:WVX720992 G786528:P786528 JC786528:JL786528 SY786528:TH786528 ACU786528:ADD786528 AMQ786528:AMZ786528 AWM786528:AWV786528 BGI786528:BGR786528 BQE786528:BQN786528 CAA786528:CAJ786528 CJW786528:CKF786528 CTS786528:CUB786528 DDO786528:DDX786528 DNK786528:DNT786528 DXG786528:DXP786528 EHC786528:EHL786528 EQY786528:ERH786528 FAU786528:FBD786528 FKQ786528:FKZ786528 FUM786528:FUV786528 GEI786528:GER786528 GOE786528:GON786528 GYA786528:GYJ786528 HHW786528:HIF786528 HRS786528:HSB786528 IBO786528:IBX786528 ILK786528:ILT786528 IVG786528:IVP786528 JFC786528:JFL786528 JOY786528:JPH786528 JYU786528:JZD786528 KIQ786528:KIZ786528 KSM786528:KSV786528 LCI786528:LCR786528 LME786528:LMN786528 LWA786528:LWJ786528 MFW786528:MGF786528 MPS786528:MQB786528 MZO786528:MZX786528 NJK786528:NJT786528 NTG786528:NTP786528 ODC786528:ODL786528 OMY786528:ONH786528 OWU786528:OXD786528 PGQ786528:PGZ786528 PQM786528:PQV786528 QAI786528:QAR786528 QKE786528:QKN786528 QUA786528:QUJ786528 RDW786528:REF786528 RNS786528:ROB786528 RXO786528:RXX786528 SHK786528:SHT786528 SRG786528:SRP786528 TBC786528:TBL786528 TKY786528:TLH786528 TUU786528:TVD786528 UEQ786528:UEZ786528 UOM786528:UOV786528 UYI786528:UYR786528 VIE786528:VIN786528 VSA786528:VSJ786528 WBW786528:WCF786528 WLS786528:WMB786528 WVO786528:WVX786528 G852064:P852064 JC852064:JL852064 SY852064:TH852064 ACU852064:ADD852064 AMQ852064:AMZ852064 AWM852064:AWV852064 BGI852064:BGR852064 BQE852064:BQN852064 CAA852064:CAJ852064 CJW852064:CKF852064 CTS852064:CUB852064 DDO852064:DDX852064 DNK852064:DNT852064 DXG852064:DXP852064 EHC852064:EHL852064 EQY852064:ERH852064 FAU852064:FBD852064 FKQ852064:FKZ852064 FUM852064:FUV852064 GEI852064:GER852064 GOE852064:GON852064 GYA852064:GYJ852064 HHW852064:HIF852064 HRS852064:HSB852064 IBO852064:IBX852064 ILK852064:ILT852064 IVG852064:IVP852064 JFC852064:JFL852064 JOY852064:JPH852064 JYU852064:JZD852064 KIQ852064:KIZ852064 KSM852064:KSV852064 LCI852064:LCR852064 LME852064:LMN852064 LWA852064:LWJ852064 MFW852064:MGF852064 MPS852064:MQB852064 MZO852064:MZX852064 NJK852064:NJT852064 NTG852064:NTP852064 ODC852064:ODL852064 OMY852064:ONH852064 OWU852064:OXD852064 PGQ852064:PGZ852064 PQM852064:PQV852064 QAI852064:QAR852064 QKE852064:QKN852064 QUA852064:QUJ852064 RDW852064:REF852064 RNS852064:ROB852064 RXO852064:RXX852064 SHK852064:SHT852064 SRG852064:SRP852064 TBC852064:TBL852064 TKY852064:TLH852064 TUU852064:TVD852064 UEQ852064:UEZ852064 UOM852064:UOV852064 UYI852064:UYR852064 VIE852064:VIN852064 VSA852064:VSJ852064 WBW852064:WCF852064 WLS852064:WMB852064 WVO852064:WVX852064 G917600:P917600 JC917600:JL917600 SY917600:TH917600 ACU917600:ADD917600 AMQ917600:AMZ917600 AWM917600:AWV917600 BGI917600:BGR917600 BQE917600:BQN917600 CAA917600:CAJ917600 CJW917600:CKF917600 CTS917600:CUB917600 DDO917600:DDX917600 DNK917600:DNT917600 DXG917600:DXP917600 EHC917600:EHL917600 EQY917600:ERH917600 FAU917600:FBD917600 FKQ917600:FKZ917600 FUM917600:FUV917600 GEI917600:GER917600 GOE917600:GON917600 GYA917600:GYJ917600 HHW917600:HIF917600 HRS917600:HSB917600 IBO917600:IBX917600 ILK917600:ILT917600 IVG917600:IVP917600 JFC917600:JFL917600 JOY917600:JPH917600 JYU917600:JZD917600 KIQ917600:KIZ917600 KSM917600:KSV917600 LCI917600:LCR917600 LME917600:LMN917600 LWA917600:LWJ917600 MFW917600:MGF917600 MPS917600:MQB917600 MZO917600:MZX917600 NJK917600:NJT917600 NTG917600:NTP917600 ODC917600:ODL917600 OMY917600:ONH917600 OWU917600:OXD917600 PGQ917600:PGZ917600 PQM917600:PQV917600 QAI917600:QAR917600 QKE917600:QKN917600 QUA917600:QUJ917600 RDW917600:REF917600 RNS917600:ROB917600 RXO917600:RXX917600 SHK917600:SHT917600 SRG917600:SRP917600 TBC917600:TBL917600 TKY917600:TLH917600 TUU917600:TVD917600 UEQ917600:UEZ917600 UOM917600:UOV917600 UYI917600:UYR917600 VIE917600:VIN917600 VSA917600:VSJ917600 WBW917600:WCF917600 WLS917600:WMB917600 WVO917600:WVX917600 G983136:P983136 JC983136:JL983136 SY983136:TH983136 ACU983136:ADD983136 AMQ983136:AMZ983136 AWM983136:AWV983136 BGI983136:BGR983136 BQE983136:BQN983136 CAA983136:CAJ983136 CJW983136:CKF983136 CTS983136:CUB983136 DDO983136:DDX983136 DNK983136:DNT983136 DXG983136:DXP983136 EHC983136:EHL983136 EQY983136:ERH983136 FAU983136:FBD983136 FKQ983136:FKZ983136 FUM983136:FUV983136 GEI983136:GER983136 GOE983136:GON983136 GYA983136:GYJ983136 HHW983136:HIF983136 HRS983136:HSB983136 IBO983136:IBX983136 ILK983136:ILT983136 IVG983136:IVP983136 JFC983136:JFL983136 JOY983136:JPH983136 JYU983136:JZD983136 KIQ983136:KIZ983136 KSM983136:KSV983136 LCI983136:LCR983136 LME983136:LMN983136 LWA983136:LWJ983136 MFW983136:MGF983136 MPS983136:MQB983136 MZO983136:MZX983136 NJK983136:NJT983136 NTG983136:NTP983136 ODC983136:ODL983136 OMY983136:ONH983136 OWU983136:OXD983136 PGQ983136:PGZ983136 PQM983136:PQV983136 QAI983136:QAR983136 QKE983136:QKN983136 QUA983136:QUJ983136 RDW983136:REF983136 RNS983136:ROB983136 RXO983136:RXX983136 SHK983136:SHT983136 SRG983136:SRP983136 TBC983136:TBL983136 TKY983136:TLH983136 TUU983136:TVD983136 UEQ983136:UEZ983136 UOM983136:UOV983136 UYI983136:UYR983136 VIE983136:VIN983136 VSA983136:VSJ983136 WBW983136:WCF983136 WLS983136:WMB983136 WVO983136:WVX983136 G99:P99 JC99:JL99 SY99:TH99 ACU99:ADD99 AMQ99:AMZ99 AWM99:AWV99 BGI99:BGR99 BQE99:BQN99 CAA99:CAJ99 CJW99:CKF99 CTS99:CUB99 DDO99:DDX99 DNK99:DNT99 DXG99:DXP99 EHC99:EHL99 EQY99:ERH99 FAU99:FBD99 FKQ99:FKZ99 FUM99:FUV99 GEI99:GER99 GOE99:GON99 GYA99:GYJ99 HHW99:HIF99 HRS99:HSB99 IBO99:IBX99 ILK99:ILT99 IVG99:IVP99 JFC99:JFL99 JOY99:JPH99 JYU99:JZD99 KIQ99:KIZ99 KSM99:KSV99 LCI99:LCR99 LME99:LMN99 LWA99:LWJ99 MFW99:MGF99 MPS99:MQB99 MZO99:MZX99 NJK99:NJT99 NTG99:NTP99 ODC99:ODL99 OMY99:ONH99 OWU99:OXD99 PGQ99:PGZ99 PQM99:PQV99 QAI99:QAR99 QKE99:QKN99 QUA99:QUJ99 RDW99:REF99 RNS99:ROB99 RXO99:RXX99 SHK99:SHT99 SRG99:SRP99 TBC99:TBL99 TKY99:TLH99 TUU99:TVD99 UEQ99:UEZ99 UOM99:UOV99 UYI99:UYR99 VIE99:VIN99 VSA99:VSJ99 WBW99:WCF99 WLS99:WMB99 WVO99:WVX99 G65635:P65635 JC65635:JL65635 SY65635:TH65635 ACU65635:ADD65635 AMQ65635:AMZ65635 AWM65635:AWV65635 BGI65635:BGR65635 BQE65635:BQN65635 CAA65635:CAJ65635 CJW65635:CKF65635 CTS65635:CUB65635 DDO65635:DDX65635 DNK65635:DNT65635 DXG65635:DXP65635 EHC65635:EHL65635 EQY65635:ERH65635 FAU65635:FBD65635 FKQ65635:FKZ65635 FUM65635:FUV65635 GEI65635:GER65635 GOE65635:GON65635 GYA65635:GYJ65635 HHW65635:HIF65635 HRS65635:HSB65635 IBO65635:IBX65635 ILK65635:ILT65635 IVG65635:IVP65635 JFC65635:JFL65635 JOY65635:JPH65635 JYU65635:JZD65635 KIQ65635:KIZ65635 KSM65635:KSV65635 LCI65635:LCR65635 LME65635:LMN65635 LWA65635:LWJ65635 MFW65635:MGF65635 MPS65635:MQB65635 MZO65635:MZX65635 NJK65635:NJT65635 NTG65635:NTP65635 ODC65635:ODL65635 OMY65635:ONH65635 OWU65635:OXD65635 PGQ65635:PGZ65635 PQM65635:PQV65635 QAI65635:QAR65635 QKE65635:QKN65635 QUA65635:QUJ65635 RDW65635:REF65635 RNS65635:ROB65635 RXO65635:RXX65635 SHK65635:SHT65635 SRG65635:SRP65635 TBC65635:TBL65635 TKY65635:TLH65635 TUU65635:TVD65635 UEQ65635:UEZ65635 UOM65635:UOV65635 UYI65635:UYR65635 VIE65635:VIN65635 VSA65635:VSJ65635 WBW65635:WCF65635 WLS65635:WMB65635 WVO65635:WVX65635 G131171:P131171 JC131171:JL131171 SY131171:TH131171 ACU131171:ADD131171 AMQ131171:AMZ131171 AWM131171:AWV131171 BGI131171:BGR131171 BQE131171:BQN131171 CAA131171:CAJ131171 CJW131171:CKF131171 CTS131171:CUB131171 DDO131171:DDX131171 DNK131171:DNT131171 DXG131171:DXP131171 EHC131171:EHL131171 EQY131171:ERH131171 FAU131171:FBD131171 FKQ131171:FKZ131171 FUM131171:FUV131171 GEI131171:GER131171 GOE131171:GON131171 GYA131171:GYJ131171 HHW131171:HIF131171 HRS131171:HSB131171 IBO131171:IBX131171 ILK131171:ILT131171 IVG131171:IVP131171 JFC131171:JFL131171 JOY131171:JPH131171 JYU131171:JZD131171 KIQ131171:KIZ131171 KSM131171:KSV131171 LCI131171:LCR131171 LME131171:LMN131171 LWA131171:LWJ131171 MFW131171:MGF131171 MPS131171:MQB131171 MZO131171:MZX131171 NJK131171:NJT131171 NTG131171:NTP131171 ODC131171:ODL131171 OMY131171:ONH131171 OWU131171:OXD131171 PGQ131171:PGZ131171 PQM131171:PQV131171 QAI131171:QAR131171 QKE131171:QKN131171 QUA131171:QUJ131171 RDW131171:REF131171 RNS131171:ROB131171 RXO131171:RXX131171 SHK131171:SHT131171 SRG131171:SRP131171 TBC131171:TBL131171 TKY131171:TLH131171 TUU131171:TVD131171 UEQ131171:UEZ131171 UOM131171:UOV131171 UYI131171:UYR131171 VIE131171:VIN131171 VSA131171:VSJ131171 WBW131171:WCF131171 WLS131171:WMB131171 WVO131171:WVX131171 G196707:P196707 JC196707:JL196707 SY196707:TH196707 ACU196707:ADD196707 AMQ196707:AMZ196707 AWM196707:AWV196707 BGI196707:BGR196707 BQE196707:BQN196707 CAA196707:CAJ196707 CJW196707:CKF196707 CTS196707:CUB196707 DDO196707:DDX196707 DNK196707:DNT196707 DXG196707:DXP196707 EHC196707:EHL196707 EQY196707:ERH196707 FAU196707:FBD196707 FKQ196707:FKZ196707 FUM196707:FUV196707 GEI196707:GER196707 GOE196707:GON196707 GYA196707:GYJ196707 HHW196707:HIF196707 HRS196707:HSB196707 IBO196707:IBX196707 ILK196707:ILT196707 IVG196707:IVP196707 JFC196707:JFL196707 JOY196707:JPH196707 JYU196707:JZD196707 KIQ196707:KIZ196707 KSM196707:KSV196707 LCI196707:LCR196707 LME196707:LMN196707 LWA196707:LWJ196707 MFW196707:MGF196707 MPS196707:MQB196707 MZO196707:MZX196707 NJK196707:NJT196707 NTG196707:NTP196707 ODC196707:ODL196707 OMY196707:ONH196707 OWU196707:OXD196707 PGQ196707:PGZ196707 PQM196707:PQV196707 QAI196707:QAR196707 QKE196707:QKN196707 QUA196707:QUJ196707 RDW196707:REF196707 RNS196707:ROB196707 RXO196707:RXX196707 SHK196707:SHT196707 SRG196707:SRP196707 TBC196707:TBL196707 TKY196707:TLH196707 TUU196707:TVD196707 UEQ196707:UEZ196707 UOM196707:UOV196707 UYI196707:UYR196707 VIE196707:VIN196707 VSA196707:VSJ196707 WBW196707:WCF196707 WLS196707:WMB196707 WVO196707:WVX196707 G262243:P262243 JC262243:JL262243 SY262243:TH262243 ACU262243:ADD262243 AMQ262243:AMZ262243 AWM262243:AWV262243 BGI262243:BGR262243 BQE262243:BQN262243 CAA262243:CAJ262243 CJW262243:CKF262243 CTS262243:CUB262243 DDO262243:DDX262243 DNK262243:DNT262243 DXG262243:DXP262243 EHC262243:EHL262243 EQY262243:ERH262243 FAU262243:FBD262243 FKQ262243:FKZ262243 FUM262243:FUV262243 GEI262243:GER262243 GOE262243:GON262243 GYA262243:GYJ262243 HHW262243:HIF262243 HRS262243:HSB262243 IBO262243:IBX262243 ILK262243:ILT262243 IVG262243:IVP262243 JFC262243:JFL262243 JOY262243:JPH262243 JYU262243:JZD262243 KIQ262243:KIZ262243 KSM262243:KSV262243 LCI262243:LCR262243 LME262243:LMN262243 LWA262243:LWJ262243 MFW262243:MGF262243 MPS262243:MQB262243 MZO262243:MZX262243 NJK262243:NJT262243 NTG262243:NTP262243 ODC262243:ODL262243 OMY262243:ONH262243 OWU262243:OXD262243 PGQ262243:PGZ262243 PQM262243:PQV262243 QAI262243:QAR262243 QKE262243:QKN262243 QUA262243:QUJ262243 RDW262243:REF262243 RNS262243:ROB262243 RXO262243:RXX262243 SHK262243:SHT262243 SRG262243:SRP262243 TBC262243:TBL262243 TKY262243:TLH262243 TUU262243:TVD262243 UEQ262243:UEZ262243 UOM262243:UOV262243 UYI262243:UYR262243 VIE262243:VIN262243 VSA262243:VSJ262243 WBW262243:WCF262243 WLS262243:WMB262243 WVO262243:WVX262243 G327779:P327779 JC327779:JL327779 SY327779:TH327779 ACU327779:ADD327779 AMQ327779:AMZ327779 AWM327779:AWV327779 BGI327779:BGR327779 BQE327779:BQN327779 CAA327779:CAJ327779 CJW327779:CKF327779 CTS327779:CUB327779 DDO327779:DDX327779 DNK327779:DNT327779 DXG327779:DXP327779 EHC327779:EHL327779 EQY327779:ERH327779 FAU327779:FBD327779 FKQ327779:FKZ327779 FUM327779:FUV327779 GEI327779:GER327779 GOE327779:GON327779 GYA327779:GYJ327779 HHW327779:HIF327779 HRS327779:HSB327779 IBO327779:IBX327779 ILK327779:ILT327779 IVG327779:IVP327779 JFC327779:JFL327779 JOY327779:JPH327779 JYU327779:JZD327779 KIQ327779:KIZ327779 KSM327779:KSV327779 LCI327779:LCR327779 LME327779:LMN327779 LWA327779:LWJ327779 MFW327779:MGF327779 MPS327779:MQB327779 MZO327779:MZX327779 NJK327779:NJT327779 NTG327779:NTP327779 ODC327779:ODL327779 OMY327779:ONH327779 OWU327779:OXD327779 PGQ327779:PGZ327779 PQM327779:PQV327779 QAI327779:QAR327779 QKE327779:QKN327779 QUA327779:QUJ327779 RDW327779:REF327779 RNS327779:ROB327779 RXO327779:RXX327779 SHK327779:SHT327779 SRG327779:SRP327779 TBC327779:TBL327779 TKY327779:TLH327779 TUU327779:TVD327779 UEQ327779:UEZ327779 UOM327779:UOV327779 UYI327779:UYR327779 VIE327779:VIN327779 VSA327779:VSJ327779 WBW327779:WCF327779 WLS327779:WMB327779 WVO327779:WVX327779 G393315:P393315 JC393315:JL393315 SY393315:TH393315 ACU393315:ADD393315 AMQ393315:AMZ393315 AWM393315:AWV393315 BGI393315:BGR393315 BQE393315:BQN393315 CAA393315:CAJ393315 CJW393315:CKF393315 CTS393315:CUB393315 DDO393315:DDX393315 DNK393315:DNT393315 DXG393315:DXP393315 EHC393315:EHL393315 EQY393315:ERH393315 FAU393315:FBD393315 FKQ393315:FKZ393315 FUM393315:FUV393315 GEI393315:GER393315 GOE393315:GON393315 GYA393315:GYJ393315 HHW393315:HIF393315 HRS393315:HSB393315 IBO393315:IBX393315 ILK393315:ILT393315 IVG393315:IVP393315 JFC393315:JFL393315 JOY393315:JPH393315 JYU393315:JZD393315 KIQ393315:KIZ393315 KSM393315:KSV393315 LCI393315:LCR393315 LME393315:LMN393315 LWA393315:LWJ393315 MFW393315:MGF393315 MPS393315:MQB393315 MZO393315:MZX393315 NJK393315:NJT393315 NTG393315:NTP393315 ODC393315:ODL393315 OMY393315:ONH393315 OWU393315:OXD393315 PGQ393315:PGZ393315 PQM393315:PQV393315 QAI393315:QAR393315 QKE393315:QKN393315 QUA393315:QUJ393315 RDW393315:REF393315 RNS393315:ROB393315 RXO393315:RXX393315 SHK393315:SHT393315 SRG393315:SRP393315 TBC393315:TBL393315 TKY393315:TLH393315 TUU393315:TVD393315 UEQ393315:UEZ393315 UOM393315:UOV393315 UYI393315:UYR393315 VIE393315:VIN393315 VSA393315:VSJ393315 WBW393315:WCF393315 WLS393315:WMB393315 WVO393315:WVX393315 G458851:P458851 JC458851:JL458851 SY458851:TH458851 ACU458851:ADD458851 AMQ458851:AMZ458851 AWM458851:AWV458851 BGI458851:BGR458851 BQE458851:BQN458851 CAA458851:CAJ458851 CJW458851:CKF458851 CTS458851:CUB458851 DDO458851:DDX458851 DNK458851:DNT458851 DXG458851:DXP458851 EHC458851:EHL458851 EQY458851:ERH458851 FAU458851:FBD458851 FKQ458851:FKZ458851 FUM458851:FUV458851 GEI458851:GER458851 GOE458851:GON458851 GYA458851:GYJ458851 HHW458851:HIF458851 HRS458851:HSB458851 IBO458851:IBX458851 ILK458851:ILT458851 IVG458851:IVP458851 JFC458851:JFL458851 JOY458851:JPH458851 JYU458851:JZD458851 KIQ458851:KIZ458851 KSM458851:KSV458851 LCI458851:LCR458851 LME458851:LMN458851 LWA458851:LWJ458851 MFW458851:MGF458851 MPS458851:MQB458851 MZO458851:MZX458851 NJK458851:NJT458851 NTG458851:NTP458851 ODC458851:ODL458851 OMY458851:ONH458851 OWU458851:OXD458851 PGQ458851:PGZ458851 PQM458851:PQV458851 QAI458851:QAR458851 QKE458851:QKN458851 QUA458851:QUJ458851 RDW458851:REF458851 RNS458851:ROB458851 RXO458851:RXX458851 SHK458851:SHT458851 SRG458851:SRP458851 TBC458851:TBL458851 TKY458851:TLH458851 TUU458851:TVD458851 UEQ458851:UEZ458851 UOM458851:UOV458851 UYI458851:UYR458851 VIE458851:VIN458851 VSA458851:VSJ458851 WBW458851:WCF458851 WLS458851:WMB458851 WVO458851:WVX458851 G524387:P524387 JC524387:JL524387 SY524387:TH524387 ACU524387:ADD524387 AMQ524387:AMZ524387 AWM524387:AWV524387 BGI524387:BGR524387 BQE524387:BQN524387 CAA524387:CAJ524387 CJW524387:CKF524387 CTS524387:CUB524387 DDO524387:DDX524387 DNK524387:DNT524387 DXG524387:DXP524387 EHC524387:EHL524387 EQY524387:ERH524387 FAU524387:FBD524387 FKQ524387:FKZ524387 FUM524387:FUV524387 GEI524387:GER524387 GOE524387:GON524387 GYA524387:GYJ524387 HHW524387:HIF524387 HRS524387:HSB524387 IBO524387:IBX524387 ILK524387:ILT524387 IVG524387:IVP524387 JFC524387:JFL524387 JOY524387:JPH524387 JYU524387:JZD524387 KIQ524387:KIZ524387 KSM524387:KSV524387 LCI524387:LCR524387 LME524387:LMN524387 LWA524387:LWJ524387 MFW524387:MGF524387 MPS524387:MQB524387 MZO524387:MZX524387 NJK524387:NJT524387 NTG524387:NTP524387 ODC524387:ODL524387 OMY524387:ONH524387 OWU524387:OXD524387 PGQ524387:PGZ524387 PQM524387:PQV524387 QAI524387:QAR524387 QKE524387:QKN524387 QUA524387:QUJ524387 RDW524387:REF524387 RNS524387:ROB524387 RXO524387:RXX524387 SHK524387:SHT524387 SRG524387:SRP524387 TBC524387:TBL524387 TKY524387:TLH524387 TUU524387:TVD524387 UEQ524387:UEZ524387 UOM524387:UOV524387 UYI524387:UYR524387 VIE524387:VIN524387 VSA524387:VSJ524387 WBW524387:WCF524387 WLS524387:WMB524387 WVO524387:WVX524387 G589923:P589923 JC589923:JL589923 SY589923:TH589923 ACU589923:ADD589923 AMQ589923:AMZ589923 AWM589923:AWV589923 BGI589923:BGR589923 BQE589923:BQN589923 CAA589923:CAJ589923 CJW589923:CKF589923 CTS589923:CUB589923 DDO589923:DDX589923 DNK589923:DNT589923 DXG589923:DXP589923 EHC589923:EHL589923 EQY589923:ERH589923 FAU589923:FBD589923 FKQ589923:FKZ589923 FUM589923:FUV589923 GEI589923:GER589923 GOE589923:GON589923 GYA589923:GYJ589923 HHW589923:HIF589923 HRS589923:HSB589923 IBO589923:IBX589923 ILK589923:ILT589923 IVG589923:IVP589923 JFC589923:JFL589923 JOY589923:JPH589923 JYU589923:JZD589923 KIQ589923:KIZ589923 KSM589923:KSV589923 LCI589923:LCR589923 LME589923:LMN589923 LWA589923:LWJ589923 MFW589923:MGF589923 MPS589923:MQB589923 MZO589923:MZX589923 NJK589923:NJT589923 NTG589923:NTP589923 ODC589923:ODL589923 OMY589923:ONH589923 OWU589923:OXD589923 PGQ589923:PGZ589923 PQM589923:PQV589923 QAI589923:QAR589923 QKE589923:QKN589923 QUA589923:QUJ589923 RDW589923:REF589923 RNS589923:ROB589923 RXO589923:RXX589923 SHK589923:SHT589923 SRG589923:SRP589923 TBC589923:TBL589923 TKY589923:TLH589923 TUU589923:TVD589923 UEQ589923:UEZ589923 UOM589923:UOV589923 UYI589923:UYR589923 VIE589923:VIN589923 VSA589923:VSJ589923 WBW589923:WCF589923 WLS589923:WMB589923 WVO589923:WVX589923 G655459:P655459 JC655459:JL655459 SY655459:TH655459 ACU655459:ADD655459 AMQ655459:AMZ655459 AWM655459:AWV655459 BGI655459:BGR655459 BQE655459:BQN655459 CAA655459:CAJ655459 CJW655459:CKF655459 CTS655459:CUB655459 DDO655459:DDX655459 DNK655459:DNT655459 DXG655459:DXP655459 EHC655459:EHL655459 EQY655459:ERH655459 FAU655459:FBD655459 FKQ655459:FKZ655459 FUM655459:FUV655459 GEI655459:GER655459 GOE655459:GON655459 GYA655459:GYJ655459 HHW655459:HIF655459 HRS655459:HSB655459 IBO655459:IBX655459 ILK655459:ILT655459 IVG655459:IVP655459 JFC655459:JFL655459 JOY655459:JPH655459 JYU655459:JZD655459 KIQ655459:KIZ655459 KSM655459:KSV655459 LCI655459:LCR655459 LME655459:LMN655459 LWA655459:LWJ655459 MFW655459:MGF655459 MPS655459:MQB655459 MZO655459:MZX655459 NJK655459:NJT655459 NTG655459:NTP655459 ODC655459:ODL655459 OMY655459:ONH655459 OWU655459:OXD655459 PGQ655459:PGZ655459 PQM655459:PQV655459 QAI655459:QAR655459 QKE655459:QKN655459 QUA655459:QUJ655459 RDW655459:REF655459 RNS655459:ROB655459 RXO655459:RXX655459 SHK655459:SHT655459 SRG655459:SRP655459 TBC655459:TBL655459 TKY655459:TLH655459 TUU655459:TVD655459 UEQ655459:UEZ655459 UOM655459:UOV655459 UYI655459:UYR655459 VIE655459:VIN655459 VSA655459:VSJ655459 WBW655459:WCF655459 WLS655459:WMB655459 WVO655459:WVX655459 G720995:P720995 JC720995:JL720995 SY720995:TH720995 ACU720995:ADD720995 AMQ720995:AMZ720995 AWM720995:AWV720995 BGI720995:BGR720995 BQE720995:BQN720995 CAA720995:CAJ720995 CJW720995:CKF720995 CTS720995:CUB720995 DDO720995:DDX720995 DNK720995:DNT720995 DXG720995:DXP720995 EHC720995:EHL720995 EQY720995:ERH720995 FAU720995:FBD720995 FKQ720995:FKZ720995 FUM720995:FUV720995 GEI720995:GER720995 GOE720995:GON720995 GYA720995:GYJ720995 HHW720995:HIF720995 HRS720995:HSB720995 IBO720995:IBX720995 ILK720995:ILT720995 IVG720995:IVP720995 JFC720995:JFL720995 JOY720995:JPH720995 JYU720995:JZD720995 KIQ720995:KIZ720995 KSM720995:KSV720995 LCI720995:LCR720995 LME720995:LMN720995 LWA720995:LWJ720995 MFW720995:MGF720995 MPS720995:MQB720995 MZO720995:MZX720995 NJK720995:NJT720995 NTG720995:NTP720995 ODC720995:ODL720995 OMY720995:ONH720995 OWU720995:OXD720995 PGQ720995:PGZ720995 PQM720995:PQV720995 QAI720995:QAR720995 QKE720995:QKN720995 QUA720995:QUJ720995 RDW720995:REF720995 RNS720995:ROB720995 RXO720995:RXX720995 SHK720995:SHT720995 SRG720995:SRP720995 TBC720995:TBL720995 TKY720995:TLH720995 TUU720995:TVD720995 UEQ720995:UEZ720995 UOM720995:UOV720995 UYI720995:UYR720995 VIE720995:VIN720995 VSA720995:VSJ720995 WBW720995:WCF720995 WLS720995:WMB720995 WVO720995:WVX720995 G786531:P786531 JC786531:JL786531 SY786531:TH786531 ACU786531:ADD786531 AMQ786531:AMZ786531 AWM786531:AWV786531 BGI786531:BGR786531 BQE786531:BQN786531 CAA786531:CAJ786531 CJW786531:CKF786531 CTS786531:CUB786531 DDO786531:DDX786531 DNK786531:DNT786531 DXG786531:DXP786531 EHC786531:EHL786531 EQY786531:ERH786531 FAU786531:FBD786531 FKQ786531:FKZ786531 FUM786531:FUV786531 GEI786531:GER786531 GOE786531:GON786531 GYA786531:GYJ786531 HHW786531:HIF786531 HRS786531:HSB786531 IBO786531:IBX786531 ILK786531:ILT786531 IVG786531:IVP786531 JFC786531:JFL786531 JOY786531:JPH786531 JYU786531:JZD786531 KIQ786531:KIZ786531 KSM786531:KSV786531 LCI786531:LCR786531 LME786531:LMN786531 LWA786531:LWJ786531 MFW786531:MGF786531 MPS786531:MQB786531 MZO786531:MZX786531 NJK786531:NJT786531 NTG786531:NTP786531 ODC786531:ODL786531 OMY786531:ONH786531 OWU786531:OXD786531 PGQ786531:PGZ786531 PQM786531:PQV786531 QAI786531:QAR786531 QKE786531:QKN786531 QUA786531:QUJ786531 RDW786531:REF786531 RNS786531:ROB786531 RXO786531:RXX786531 SHK786531:SHT786531 SRG786531:SRP786531 TBC786531:TBL786531 TKY786531:TLH786531 TUU786531:TVD786531 UEQ786531:UEZ786531 UOM786531:UOV786531 UYI786531:UYR786531 VIE786531:VIN786531 VSA786531:VSJ786531 WBW786531:WCF786531 WLS786531:WMB786531 WVO786531:WVX786531 G852067:P852067 JC852067:JL852067 SY852067:TH852067 ACU852067:ADD852067 AMQ852067:AMZ852067 AWM852067:AWV852067 BGI852067:BGR852067 BQE852067:BQN852067 CAA852067:CAJ852067 CJW852067:CKF852067 CTS852067:CUB852067 DDO852067:DDX852067 DNK852067:DNT852067 DXG852067:DXP852067 EHC852067:EHL852067 EQY852067:ERH852067 FAU852067:FBD852067 FKQ852067:FKZ852067 FUM852067:FUV852067 GEI852067:GER852067 GOE852067:GON852067 GYA852067:GYJ852067 HHW852067:HIF852067 HRS852067:HSB852067 IBO852067:IBX852067 ILK852067:ILT852067 IVG852067:IVP852067 JFC852067:JFL852067 JOY852067:JPH852067 JYU852067:JZD852067 KIQ852067:KIZ852067 KSM852067:KSV852067 LCI852067:LCR852067 LME852067:LMN852067 LWA852067:LWJ852067 MFW852067:MGF852067 MPS852067:MQB852067 MZO852067:MZX852067 NJK852067:NJT852067 NTG852067:NTP852067 ODC852067:ODL852067 OMY852067:ONH852067 OWU852067:OXD852067 PGQ852067:PGZ852067 PQM852067:PQV852067 QAI852067:QAR852067 QKE852067:QKN852067 QUA852067:QUJ852067 RDW852067:REF852067 RNS852067:ROB852067 RXO852067:RXX852067 SHK852067:SHT852067 SRG852067:SRP852067 TBC852067:TBL852067 TKY852067:TLH852067 TUU852067:TVD852067 UEQ852067:UEZ852067 UOM852067:UOV852067 UYI852067:UYR852067 VIE852067:VIN852067 VSA852067:VSJ852067 WBW852067:WCF852067 WLS852067:WMB852067 WVO852067:WVX852067 G917603:P917603 JC917603:JL917603 SY917603:TH917603 ACU917603:ADD917603 AMQ917603:AMZ917603 AWM917603:AWV917603 BGI917603:BGR917603 BQE917603:BQN917603 CAA917603:CAJ917603 CJW917603:CKF917603 CTS917603:CUB917603 DDO917603:DDX917603 DNK917603:DNT917603 DXG917603:DXP917603 EHC917603:EHL917603 EQY917603:ERH917603 FAU917603:FBD917603 FKQ917603:FKZ917603 FUM917603:FUV917603 GEI917603:GER917603 GOE917603:GON917603 GYA917603:GYJ917603 HHW917603:HIF917603 HRS917603:HSB917603 IBO917603:IBX917603 ILK917603:ILT917603 IVG917603:IVP917603 JFC917603:JFL917603 JOY917603:JPH917603 JYU917603:JZD917603 KIQ917603:KIZ917603 KSM917603:KSV917603 LCI917603:LCR917603 LME917603:LMN917603 LWA917603:LWJ917603 MFW917603:MGF917603 MPS917603:MQB917603 MZO917603:MZX917603 NJK917603:NJT917603 NTG917603:NTP917603 ODC917603:ODL917603 OMY917603:ONH917603 OWU917603:OXD917603 PGQ917603:PGZ917603 PQM917603:PQV917603 QAI917603:QAR917603 QKE917603:QKN917603 QUA917603:QUJ917603 RDW917603:REF917603 RNS917603:ROB917603 RXO917603:RXX917603 SHK917603:SHT917603 SRG917603:SRP917603 TBC917603:TBL917603 TKY917603:TLH917603 TUU917603:TVD917603 UEQ917603:UEZ917603 UOM917603:UOV917603 UYI917603:UYR917603 VIE917603:VIN917603 VSA917603:VSJ917603 WBW917603:WCF917603 WLS917603:WMB917603 WVO917603:WVX917603 G983139:P983139 JC983139:JL983139 SY983139:TH983139 ACU983139:ADD983139 AMQ983139:AMZ983139 AWM983139:AWV983139 BGI983139:BGR983139 BQE983139:BQN983139 CAA983139:CAJ983139 CJW983139:CKF983139 CTS983139:CUB983139 DDO983139:DDX983139 DNK983139:DNT983139 DXG983139:DXP983139 EHC983139:EHL983139 EQY983139:ERH983139 FAU983139:FBD983139 FKQ983139:FKZ983139 FUM983139:FUV983139 GEI983139:GER983139 GOE983139:GON983139 GYA983139:GYJ983139 HHW983139:HIF983139 HRS983139:HSB983139 IBO983139:IBX983139 ILK983139:ILT983139 IVG983139:IVP983139 JFC983139:JFL983139 JOY983139:JPH983139 JYU983139:JZD983139 KIQ983139:KIZ983139 KSM983139:KSV983139 LCI983139:LCR983139 LME983139:LMN983139 LWA983139:LWJ983139 MFW983139:MGF983139 MPS983139:MQB983139 MZO983139:MZX983139 NJK983139:NJT983139 NTG983139:NTP983139 ODC983139:ODL983139 OMY983139:ONH983139 OWU983139:OXD983139 PGQ983139:PGZ983139 PQM983139:PQV983139 QAI983139:QAR983139 QKE983139:QKN983139 QUA983139:QUJ983139 RDW983139:REF983139 RNS983139:ROB983139 RXO983139:RXX983139 SHK983139:SHT983139 SRG983139:SRP983139 TBC983139:TBL983139 TKY983139:TLH983139 TUU983139:TVD983139 UEQ983139:UEZ983139 UOM983139:UOV983139 UYI983139:UYR983139 VIE983139:VIN983139 VSA983139:VSJ983139 WBW983139:WCF983139 WLS983139:WMB983139 WVO983139:WVX983139 G101:P101 JC101:JL101 SY101:TH101 ACU101:ADD101 AMQ101:AMZ101 AWM101:AWV101 BGI101:BGR101 BQE101:BQN101 CAA101:CAJ101 CJW101:CKF101 CTS101:CUB101 DDO101:DDX101 DNK101:DNT101 DXG101:DXP101 EHC101:EHL101 EQY101:ERH101 FAU101:FBD101 FKQ101:FKZ101 FUM101:FUV101 GEI101:GER101 GOE101:GON101 GYA101:GYJ101 HHW101:HIF101 HRS101:HSB101 IBO101:IBX101 ILK101:ILT101 IVG101:IVP101 JFC101:JFL101 JOY101:JPH101 JYU101:JZD101 KIQ101:KIZ101 KSM101:KSV101 LCI101:LCR101 LME101:LMN101 LWA101:LWJ101 MFW101:MGF101 MPS101:MQB101 MZO101:MZX101 NJK101:NJT101 NTG101:NTP101 ODC101:ODL101 OMY101:ONH101 OWU101:OXD101 PGQ101:PGZ101 PQM101:PQV101 QAI101:QAR101 QKE101:QKN101 QUA101:QUJ101 RDW101:REF101 RNS101:ROB101 RXO101:RXX101 SHK101:SHT101 SRG101:SRP101 TBC101:TBL101 TKY101:TLH101 TUU101:TVD101 UEQ101:UEZ101 UOM101:UOV101 UYI101:UYR101 VIE101:VIN101 VSA101:VSJ101 WBW101:WCF101 WLS101:WMB101 WVO101:WVX101 G65637:P65637 JC65637:JL65637 SY65637:TH65637 ACU65637:ADD65637 AMQ65637:AMZ65637 AWM65637:AWV65637 BGI65637:BGR65637 BQE65637:BQN65637 CAA65637:CAJ65637 CJW65637:CKF65637 CTS65637:CUB65637 DDO65637:DDX65637 DNK65637:DNT65637 DXG65637:DXP65637 EHC65637:EHL65637 EQY65637:ERH65637 FAU65637:FBD65637 FKQ65637:FKZ65637 FUM65637:FUV65637 GEI65637:GER65637 GOE65637:GON65637 GYA65637:GYJ65637 HHW65637:HIF65637 HRS65637:HSB65637 IBO65637:IBX65637 ILK65637:ILT65637 IVG65637:IVP65637 JFC65637:JFL65637 JOY65637:JPH65637 JYU65637:JZD65637 KIQ65637:KIZ65637 KSM65637:KSV65637 LCI65637:LCR65637 LME65637:LMN65637 LWA65637:LWJ65637 MFW65637:MGF65637 MPS65637:MQB65637 MZO65637:MZX65637 NJK65637:NJT65637 NTG65637:NTP65637 ODC65637:ODL65637 OMY65637:ONH65637 OWU65637:OXD65637 PGQ65637:PGZ65637 PQM65637:PQV65637 QAI65637:QAR65637 QKE65637:QKN65637 QUA65637:QUJ65637 RDW65637:REF65637 RNS65637:ROB65637 RXO65637:RXX65637 SHK65637:SHT65637 SRG65637:SRP65637 TBC65637:TBL65637 TKY65637:TLH65637 TUU65637:TVD65637 UEQ65637:UEZ65637 UOM65637:UOV65637 UYI65637:UYR65637 VIE65637:VIN65637 VSA65637:VSJ65637 WBW65637:WCF65637 WLS65637:WMB65637 WVO65637:WVX65637 G131173:P131173 JC131173:JL131173 SY131173:TH131173 ACU131173:ADD131173 AMQ131173:AMZ131173 AWM131173:AWV131173 BGI131173:BGR131173 BQE131173:BQN131173 CAA131173:CAJ131173 CJW131173:CKF131173 CTS131173:CUB131173 DDO131173:DDX131173 DNK131173:DNT131173 DXG131173:DXP131173 EHC131173:EHL131173 EQY131173:ERH131173 FAU131173:FBD131173 FKQ131173:FKZ131173 FUM131173:FUV131173 GEI131173:GER131173 GOE131173:GON131173 GYA131173:GYJ131173 HHW131173:HIF131173 HRS131173:HSB131173 IBO131173:IBX131173 ILK131173:ILT131173 IVG131173:IVP131173 JFC131173:JFL131173 JOY131173:JPH131173 JYU131173:JZD131173 KIQ131173:KIZ131173 KSM131173:KSV131173 LCI131173:LCR131173 LME131173:LMN131173 LWA131173:LWJ131173 MFW131173:MGF131173 MPS131173:MQB131173 MZO131173:MZX131173 NJK131173:NJT131173 NTG131173:NTP131173 ODC131173:ODL131173 OMY131173:ONH131173 OWU131173:OXD131173 PGQ131173:PGZ131173 PQM131173:PQV131173 QAI131173:QAR131173 QKE131173:QKN131173 QUA131173:QUJ131173 RDW131173:REF131173 RNS131173:ROB131173 RXO131173:RXX131173 SHK131173:SHT131173 SRG131173:SRP131173 TBC131173:TBL131173 TKY131173:TLH131173 TUU131173:TVD131173 UEQ131173:UEZ131173 UOM131173:UOV131173 UYI131173:UYR131173 VIE131173:VIN131173 VSA131173:VSJ131173 WBW131173:WCF131173 WLS131173:WMB131173 WVO131173:WVX131173 G196709:P196709 JC196709:JL196709 SY196709:TH196709 ACU196709:ADD196709 AMQ196709:AMZ196709 AWM196709:AWV196709 BGI196709:BGR196709 BQE196709:BQN196709 CAA196709:CAJ196709 CJW196709:CKF196709 CTS196709:CUB196709 DDO196709:DDX196709 DNK196709:DNT196709 DXG196709:DXP196709 EHC196709:EHL196709 EQY196709:ERH196709 FAU196709:FBD196709 FKQ196709:FKZ196709 FUM196709:FUV196709 GEI196709:GER196709 GOE196709:GON196709 GYA196709:GYJ196709 HHW196709:HIF196709 HRS196709:HSB196709 IBO196709:IBX196709 ILK196709:ILT196709 IVG196709:IVP196709 JFC196709:JFL196709 JOY196709:JPH196709 JYU196709:JZD196709 KIQ196709:KIZ196709 KSM196709:KSV196709 LCI196709:LCR196709 LME196709:LMN196709 LWA196709:LWJ196709 MFW196709:MGF196709 MPS196709:MQB196709 MZO196709:MZX196709 NJK196709:NJT196709 NTG196709:NTP196709 ODC196709:ODL196709 OMY196709:ONH196709 OWU196709:OXD196709 PGQ196709:PGZ196709 PQM196709:PQV196709 QAI196709:QAR196709 QKE196709:QKN196709 QUA196709:QUJ196709 RDW196709:REF196709 RNS196709:ROB196709 RXO196709:RXX196709 SHK196709:SHT196709 SRG196709:SRP196709 TBC196709:TBL196709 TKY196709:TLH196709 TUU196709:TVD196709 UEQ196709:UEZ196709 UOM196709:UOV196709 UYI196709:UYR196709 VIE196709:VIN196709 VSA196709:VSJ196709 WBW196709:WCF196709 WLS196709:WMB196709 WVO196709:WVX196709 G262245:P262245 JC262245:JL262245 SY262245:TH262245 ACU262245:ADD262245 AMQ262245:AMZ262245 AWM262245:AWV262245 BGI262245:BGR262245 BQE262245:BQN262245 CAA262245:CAJ262245 CJW262245:CKF262245 CTS262245:CUB262245 DDO262245:DDX262245 DNK262245:DNT262245 DXG262245:DXP262245 EHC262245:EHL262245 EQY262245:ERH262245 FAU262245:FBD262245 FKQ262245:FKZ262245 FUM262245:FUV262245 GEI262245:GER262245 GOE262245:GON262245 GYA262245:GYJ262245 HHW262245:HIF262245 HRS262245:HSB262245 IBO262245:IBX262245 ILK262245:ILT262245 IVG262245:IVP262245 JFC262245:JFL262245 JOY262245:JPH262245 JYU262245:JZD262245 KIQ262245:KIZ262245 KSM262245:KSV262245 LCI262245:LCR262245 LME262245:LMN262245 LWA262245:LWJ262245 MFW262245:MGF262245 MPS262245:MQB262245 MZO262245:MZX262245 NJK262245:NJT262245 NTG262245:NTP262245 ODC262245:ODL262245 OMY262245:ONH262245 OWU262245:OXD262245 PGQ262245:PGZ262245 PQM262245:PQV262245 QAI262245:QAR262245 QKE262245:QKN262245 QUA262245:QUJ262245 RDW262245:REF262245 RNS262245:ROB262245 RXO262245:RXX262245 SHK262245:SHT262245 SRG262245:SRP262245 TBC262245:TBL262245 TKY262245:TLH262245 TUU262245:TVD262245 UEQ262245:UEZ262245 UOM262245:UOV262245 UYI262245:UYR262245 VIE262245:VIN262245 VSA262245:VSJ262245 WBW262245:WCF262245 WLS262245:WMB262245 WVO262245:WVX262245 G327781:P327781 JC327781:JL327781 SY327781:TH327781 ACU327781:ADD327781 AMQ327781:AMZ327781 AWM327781:AWV327781 BGI327781:BGR327781 BQE327781:BQN327781 CAA327781:CAJ327781 CJW327781:CKF327781 CTS327781:CUB327781 DDO327781:DDX327781 DNK327781:DNT327781 DXG327781:DXP327781 EHC327781:EHL327781 EQY327781:ERH327781 FAU327781:FBD327781 FKQ327781:FKZ327781 FUM327781:FUV327781 GEI327781:GER327781 GOE327781:GON327781 GYA327781:GYJ327781 HHW327781:HIF327781 HRS327781:HSB327781 IBO327781:IBX327781 ILK327781:ILT327781 IVG327781:IVP327781 JFC327781:JFL327781 JOY327781:JPH327781 JYU327781:JZD327781 KIQ327781:KIZ327781 KSM327781:KSV327781 LCI327781:LCR327781 LME327781:LMN327781 LWA327781:LWJ327781 MFW327781:MGF327781 MPS327781:MQB327781 MZO327781:MZX327781 NJK327781:NJT327781 NTG327781:NTP327781 ODC327781:ODL327781 OMY327781:ONH327781 OWU327781:OXD327781 PGQ327781:PGZ327781 PQM327781:PQV327781 QAI327781:QAR327781 QKE327781:QKN327781 QUA327781:QUJ327781 RDW327781:REF327781 RNS327781:ROB327781 RXO327781:RXX327781 SHK327781:SHT327781 SRG327781:SRP327781 TBC327781:TBL327781 TKY327781:TLH327781 TUU327781:TVD327781 UEQ327781:UEZ327781 UOM327781:UOV327781 UYI327781:UYR327781 VIE327781:VIN327781 VSA327781:VSJ327781 WBW327781:WCF327781 WLS327781:WMB327781 WVO327781:WVX327781 G393317:P393317 JC393317:JL393317 SY393317:TH393317 ACU393317:ADD393317 AMQ393317:AMZ393317 AWM393317:AWV393317 BGI393317:BGR393317 BQE393317:BQN393317 CAA393317:CAJ393317 CJW393317:CKF393317 CTS393317:CUB393317 DDO393317:DDX393317 DNK393317:DNT393317 DXG393317:DXP393317 EHC393317:EHL393317 EQY393317:ERH393317 FAU393317:FBD393317 FKQ393317:FKZ393317 FUM393317:FUV393317 GEI393317:GER393317 GOE393317:GON393317 GYA393317:GYJ393317 HHW393317:HIF393317 HRS393317:HSB393317 IBO393317:IBX393317 ILK393317:ILT393317 IVG393317:IVP393317 JFC393317:JFL393317 JOY393317:JPH393317 JYU393317:JZD393317 KIQ393317:KIZ393317 KSM393317:KSV393317 LCI393317:LCR393317 LME393317:LMN393317 LWA393317:LWJ393317 MFW393317:MGF393317 MPS393317:MQB393317 MZO393317:MZX393317 NJK393317:NJT393317 NTG393317:NTP393317 ODC393317:ODL393317 OMY393317:ONH393317 OWU393317:OXD393317 PGQ393317:PGZ393317 PQM393317:PQV393317 QAI393317:QAR393317 QKE393317:QKN393317 QUA393317:QUJ393317 RDW393317:REF393317 RNS393317:ROB393317 RXO393317:RXX393317 SHK393317:SHT393317 SRG393317:SRP393317 TBC393317:TBL393317 TKY393317:TLH393317 TUU393317:TVD393317 UEQ393317:UEZ393317 UOM393317:UOV393317 UYI393317:UYR393317 VIE393317:VIN393317 VSA393317:VSJ393317 WBW393317:WCF393317 WLS393317:WMB393317 WVO393317:WVX393317 G458853:P458853 JC458853:JL458853 SY458853:TH458853 ACU458853:ADD458853 AMQ458853:AMZ458853 AWM458853:AWV458853 BGI458853:BGR458853 BQE458853:BQN458853 CAA458853:CAJ458853 CJW458853:CKF458853 CTS458853:CUB458853 DDO458853:DDX458853 DNK458853:DNT458853 DXG458853:DXP458853 EHC458853:EHL458853 EQY458853:ERH458853 FAU458853:FBD458853 FKQ458853:FKZ458853 FUM458853:FUV458853 GEI458853:GER458853 GOE458853:GON458853 GYA458853:GYJ458853 HHW458853:HIF458853 HRS458853:HSB458853 IBO458853:IBX458853 ILK458853:ILT458853 IVG458853:IVP458853 JFC458853:JFL458853 JOY458853:JPH458853 JYU458853:JZD458853 KIQ458853:KIZ458853 KSM458853:KSV458853 LCI458853:LCR458853 LME458853:LMN458853 LWA458853:LWJ458853 MFW458853:MGF458853 MPS458853:MQB458853 MZO458853:MZX458853 NJK458853:NJT458853 NTG458853:NTP458853 ODC458853:ODL458853 OMY458853:ONH458853 OWU458853:OXD458853 PGQ458853:PGZ458853 PQM458853:PQV458853 QAI458853:QAR458853 QKE458853:QKN458853 QUA458853:QUJ458853 RDW458853:REF458853 RNS458853:ROB458853 RXO458853:RXX458853 SHK458853:SHT458853 SRG458853:SRP458853 TBC458853:TBL458853 TKY458853:TLH458853 TUU458853:TVD458853 UEQ458853:UEZ458853 UOM458853:UOV458853 UYI458853:UYR458853 VIE458853:VIN458853 VSA458853:VSJ458853 WBW458853:WCF458853 WLS458853:WMB458853 WVO458853:WVX458853 G524389:P524389 JC524389:JL524389 SY524389:TH524389 ACU524389:ADD524389 AMQ524389:AMZ524389 AWM524389:AWV524389 BGI524389:BGR524389 BQE524389:BQN524389 CAA524389:CAJ524389 CJW524389:CKF524389 CTS524389:CUB524389 DDO524389:DDX524389 DNK524389:DNT524389 DXG524389:DXP524389 EHC524389:EHL524389 EQY524389:ERH524389 FAU524389:FBD524389 FKQ524389:FKZ524389 FUM524389:FUV524389 GEI524389:GER524389 GOE524389:GON524389 GYA524389:GYJ524389 HHW524389:HIF524389 HRS524389:HSB524389 IBO524389:IBX524389 ILK524389:ILT524389 IVG524389:IVP524389 JFC524389:JFL524389 JOY524389:JPH524389 JYU524389:JZD524389 KIQ524389:KIZ524389 KSM524389:KSV524389 LCI524389:LCR524389 LME524389:LMN524389 LWA524389:LWJ524389 MFW524389:MGF524389 MPS524389:MQB524389 MZO524389:MZX524389 NJK524389:NJT524389 NTG524389:NTP524389 ODC524389:ODL524389 OMY524389:ONH524389 OWU524389:OXD524389 PGQ524389:PGZ524389 PQM524389:PQV524389 QAI524389:QAR524389 QKE524389:QKN524389 QUA524389:QUJ524389 RDW524389:REF524389 RNS524389:ROB524389 RXO524389:RXX524389 SHK524389:SHT524389 SRG524389:SRP524389 TBC524389:TBL524389 TKY524389:TLH524389 TUU524389:TVD524389 UEQ524389:UEZ524389 UOM524389:UOV524389 UYI524389:UYR524389 VIE524389:VIN524389 VSA524389:VSJ524389 WBW524389:WCF524389 WLS524389:WMB524389 WVO524389:WVX524389 G589925:P589925 JC589925:JL589925 SY589925:TH589925 ACU589925:ADD589925 AMQ589925:AMZ589925 AWM589925:AWV589925 BGI589925:BGR589925 BQE589925:BQN589925 CAA589925:CAJ589925 CJW589925:CKF589925 CTS589925:CUB589925 DDO589925:DDX589925 DNK589925:DNT589925 DXG589925:DXP589925 EHC589925:EHL589925 EQY589925:ERH589925 FAU589925:FBD589925 FKQ589925:FKZ589925 FUM589925:FUV589925 GEI589925:GER589925 GOE589925:GON589925 GYA589925:GYJ589925 HHW589925:HIF589925 HRS589925:HSB589925 IBO589925:IBX589925 ILK589925:ILT589925 IVG589925:IVP589925 JFC589925:JFL589925 JOY589925:JPH589925 JYU589925:JZD589925 KIQ589925:KIZ589925 KSM589925:KSV589925 LCI589925:LCR589925 LME589925:LMN589925 LWA589925:LWJ589925 MFW589925:MGF589925 MPS589925:MQB589925 MZO589925:MZX589925 NJK589925:NJT589925 NTG589925:NTP589925 ODC589925:ODL589925 OMY589925:ONH589925 OWU589925:OXD589925 PGQ589925:PGZ589925 PQM589925:PQV589925 QAI589925:QAR589925 QKE589925:QKN589925 QUA589925:QUJ589925 RDW589925:REF589925 RNS589925:ROB589925 RXO589925:RXX589925 SHK589925:SHT589925 SRG589925:SRP589925 TBC589925:TBL589925 TKY589925:TLH589925 TUU589925:TVD589925 UEQ589925:UEZ589925 UOM589925:UOV589925 UYI589925:UYR589925 VIE589925:VIN589925 VSA589925:VSJ589925 WBW589925:WCF589925 WLS589925:WMB589925 WVO589925:WVX589925 G655461:P655461 JC655461:JL655461 SY655461:TH655461 ACU655461:ADD655461 AMQ655461:AMZ655461 AWM655461:AWV655461 BGI655461:BGR655461 BQE655461:BQN655461 CAA655461:CAJ655461 CJW655461:CKF655461 CTS655461:CUB655461 DDO655461:DDX655461 DNK655461:DNT655461 DXG655461:DXP655461 EHC655461:EHL655461 EQY655461:ERH655461 FAU655461:FBD655461 FKQ655461:FKZ655461 FUM655461:FUV655461 GEI655461:GER655461 GOE655461:GON655461 GYA655461:GYJ655461 HHW655461:HIF655461 HRS655461:HSB655461 IBO655461:IBX655461 ILK655461:ILT655461 IVG655461:IVP655461 JFC655461:JFL655461 JOY655461:JPH655461 JYU655461:JZD655461 KIQ655461:KIZ655461 KSM655461:KSV655461 LCI655461:LCR655461 LME655461:LMN655461 LWA655461:LWJ655461 MFW655461:MGF655461 MPS655461:MQB655461 MZO655461:MZX655461 NJK655461:NJT655461 NTG655461:NTP655461 ODC655461:ODL655461 OMY655461:ONH655461 OWU655461:OXD655461 PGQ655461:PGZ655461 PQM655461:PQV655461 QAI655461:QAR655461 QKE655461:QKN655461 QUA655461:QUJ655461 RDW655461:REF655461 RNS655461:ROB655461 RXO655461:RXX655461 SHK655461:SHT655461 SRG655461:SRP655461 TBC655461:TBL655461 TKY655461:TLH655461 TUU655461:TVD655461 UEQ655461:UEZ655461 UOM655461:UOV655461 UYI655461:UYR655461 VIE655461:VIN655461 VSA655461:VSJ655461 WBW655461:WCF655461 WLS655461:WMB655461 WVO655461:WVX655461 G720997:P720997 JC720997:JL720997 SY720997:TH720997 ACU720997:ADD720997 AMQ720997:AMZ720997 AWM720997:AWV720997 BGI720997:BGR720997 BQE720997:BQN720997 CAA720997:CAJ720997 CJW720997:CKF720997 CTS720997:CUB720997 DDO720997:DDX720997 DNK720997:DNT720997 DXG720997:DXP720997 EHC720997:EHL720997 EQY720997:ERH720997 FAU720997:FBD720997 FKQ720997:FKZ720997 FUM720997:FUV720997 GEI720997:GER720997 GOE720997:GON720997 GYA720997:GYJ720997 HHW720997:HIF720997 HRS720997:HSB720997 IBO720997:IBX720997 ILK720997:ILT720997 IVG720997:IVP720997 JFC720997:JFL720997 JOY720997:JPH720997 JYU720997:JZD720997 KIQ720997:KIZ720997 KSM720997:KSV720997 LCI720997:LCR720997 LME720997:LMN720997 LWA720997:LWJ720997 MFW720997:MGF720997 MPS720997:MQB720997 MZO720997:MZX720997 NJK720997:NJT720997 NTG720997:NTP720997 ODC720997:ODL720997 OMY720997:ONH720997 OWU720997:OXD720997 PGQ720997:PGZ720997 PQM720997:PQV720997 QAI720997:QAR720997 QKE720997:QKN720997 QUA720997:QUJ720997 RDW720997:REF720997 RNS720997:ROB720997 RXO720997:RXX720997 SHK720997:SHT720997 SRG720997:SRP720997 TBC720997:TBL720997 TKY720997:TLH720997 TUU720997:TVD720997 UEQ720997:UEZ720997 UOM720997:UOV720997 UYI720997:UYR720997 VIE720997:VIN720997 VSA720997:VSJ720997 WBW720997:WCF720997 WLS720997:WMB720997 WVO720997:WVX720997 G786533:P786533 JC786533:JL786533 SY786533:TH786533 ACU786533:ADD786533 AMQ786533:AMZ786533 AWM786533:AWV786533 BGI786533:BGR786533 BQE786533:BQN786533 CAA786533:CAJ786533 CJW786533:CKF786533 CTS786533:CUB786533 DDO786533:DDX786533 DNK786533:DNT786533 DXG786533:DXP786533 EHC786533:EHL786533 EQY786533:ERH786533 FAU786533:FBD786533 FKQ786533:FKZ786533 FUM786533:FUV786533 GEI786533:GER786533 GOE786533:GON786533 GYA786533:GYJ786533 HHW786533:HIF786533 HRS786533:HSB786533 IBO786533:IBX786533 ILK786533:ILT786533 IVG786533:IVP786533 JFC786533:JFL786533 JOY786533:JPH786533 JYU786533:JZD786533 KIQ786533:KIZ786533 KSM786533:KSV786533 LCI786533:LCR786533 LME786533:LMN786533 LWA786533:LWJ786533 MFW786533:MGF786533 MPS786533:MQB786533 MZO786533:MZX786533 NJK786533:NJT786533 NTG786533:NTP786533 ODC786533:ODL786533 OMY786533:ONH786533 OWU786533:OXD786533 PGQ786533:PGZ786533 PQM786533:PQV786533 QAI786533:QAR786533 QKE786533:QKN786533 QUA786533:QUJ786533 RDW786533:REF786533 RNS786533:ROB786533 RXO786533:RXX786533 SHK786533:SHT786533 SRG786533:SRP786533 TBC786533:TBL786533 TKY786533:TLH786533 TUU786533:TVD786533 UEQ786533:UEZ786533 UOM786533:UOV786533 UYI786533:UYR786533 VIE786533:VIN786533 VSA786533:VSJ786533 WBW786533:WCF786533 WLS786533:WMB786533 WVO786533:WVX786533 G852069:P852069 JC852069:JL852069 SY852069:TH852069 ACU852069:ADD852069 AMQ852069:AMZ852069 AWM852069:AWV852069 BGI852069:BGR852069 BQE852069:BQN852069 CAA852069:CAJ852069 CJW852069:CKF852069 CTS852069:CUB852069 DDO852069:DDX852069 DNK852069:DNT852069 DXG852069:DXP852069 EHC852069:EHL852069 EQY852069:ERH852069 FAU852069:FBD852069 FKQ852069:FKZ852069 FUM852069:FUV852069 GEI852069:GER852069 GOE852069:GON852069 GYA852069:GYJ852069 HHW852069:HIF852069 HRS852069:HSB852069 IBO852069:IBX852069 ILK852069:ILT852069 IVG852069:IVP852069 JFC852069:JFL852069 JOY852069:JPH852069 JYU852069:JZD852069 KIQ852069:KIZ852069 KSM852069:KSV852069 LCI852069:LCR852069 LME852069:LMN852069 LWA852069:LWJ852069 MFW852069:MGF852069 MPS852069:MQB852069 MZO852069:MZX852069 NJK852069:NJT852069 NTG852069:NTP852069 ODC852069:ODL852069 OMY852069:ONH852069 OWU852069:OXD852069 PGQ852069:PGZ852069 PQM852069:PQV852069 QAI852069:QAR852069 QKE852069:QKN852069 QUA852069:QUJ852069 RDW852069:REF852069 RNS852069:ROB852069 RXO852069:RXX852069 SHK852069:SHT852069 SRG852069:SRP852069 TBC852069:TBL852069 TKY852069:TLH852069 TUU852069:TVD852069 UEQ852069:UEZ852069 UOM852069:UOV852069 UYI852069:UYR852069 VIE852069:VIN852069 VSA852069:VSJ852069 WBW852069:WCF852069 WLS852069:WMB852069 WVO852069:WVX852069 G917605:P917605 JC917605:JL917605 SY917605:TH917605 ACU917605:ADD917605 AMQ917605:AMZ917605 AWM917605:AWV917605 BGI917605:BGR917605 BQE917605:BQN917605 CAA917605:CAJ917605 CJW917605:CKF917605 CTS917605:CUB917605 DDO917605:DDX917605 DNK917605:DNT917605 DXG917605:DXP917605 EHC917605:EHL917605 EQY917605:ERH917605 FAU917605:FBD917605 FKQ917605:FKZ917605 FUM917605:FUV917605 GEI917605:GER917605 GOE917605:GON917605 GYA917605:GYJ917605 HHW917605:HIF917605 HRS917605:HSB917605 IBO917605:IBX917605 ILK917605:ILT917605 IVG917605:IVP917605 JFC917605:JFL917605 JOY917605:JPH917605 JYU917605:JZD917605 KIQ917605:KIZ917605 KSM917605:KSV917605 LCI917605:LCR917605 LME917605:LMN917605 LWA917605:LWJ917605 MFW917605:MGF917605 MPS917605:MQB917605 MZO917605:MZX917605 NJK917605:NJT917605 NTG917605:NTP917605 ODC917605:ODL917605 OMY917605:ONH917605 OWU917605:OXD917605 PGQ917605:PGZ917605 PQM917605:PQV917605 QAI917605:QAR917605 QKE917605:QKN917605 QUA917605:QUJ917605 RDW917605:REF917605 RNS917605:ROB917605 RXO917605:RXX917605 SHK917605:SHT917605 SRG917605:SRP917605 TBC917605:TBL917605 TKY917605:TLH917605 TUU917605:TVD917605 UEQ917605:UEZ917605 UOM917605:UOV917605 UYI917605:UYR917605 VIE917605:VIN917605 VSA917605:VSJ917605 WBW917605:WCF917605 WLS917605:WMB917605 WVO917605:WVX917605 G983141:P983141 JC983141:JL983141 SY983141:TH983141 ACU983141:ADD983141 AMQ983141:AMZ983141 AWM983141:AWV983141 BGI983141:BGR983141 BQE983141:BQN983141 CAA983141:CAJ983141 CJW983141:CKF983141 CTS983141:CUB983141 DDO983141:DDX983141 DNK983141:DNT983141 DXG983141:DXP983141 EHC983141:EHL983141 EQY983141:ERH983141 FAU983141:FBD983141 FKQ983141:FKZ983141 FUM983141:FUV983141 GEI983141:GER983141 GOE983141:GON983141 GYA983141:GYJ983141 HHW983141:HIF983141 HRS983141:HSB983141 IBO983141:IBX983141 ILK983141:ILT983141 IVG983141:IVP983141 JFC983141:JFL983141 JOY983141:JPH983141 JYU983141:JZD983141 KIQ983141:KIZ983141 KSM983141:KSV983141 LCI983141:LCR983141 LME983141:LMN983141 LWA983141:LWJ983141 MFW983141:MGF983141 MPS983141:MQB983141 MZO983141:MZX983141 NJK983141:NJT983141 NTG983141:NTP983141 ODC983141:ODL983141 OMY983141:ONH983141 OWU983141:OXD983141 PGQ983141:PGZ983141 PQM983141:PQV983141 QAI983141:QAR983141 QKE983141:QKN983141 QUA983141:QUJ983141 RDW983141:REF983141 RNS983141:ROB983141 RXO983141:RXX983141 SHK983141:SHT983141 SRG983141:SRP983141 TBC983141:TBL983141 TKY983141:TLH983141 TUU983141:TVD983141 UEQ983141:UEZ983141 UOM983141:UOV983141 UYI983141:UYR983141 VIE983141:VIN983141 VSA983141:VSJ983141 WBW983141:WCF983141 WLS983141:WMB983141 WVO983141:WVX983141 G105:P105 JC105:JL105 SY105:TH105 ACU105:ADD105 AMQ105:AMZ105 AWM105:AWV105 BGI105:BGR105 BQE105:BQN105 CAA105:CAJ105 CJW105:CKF105 CTS105:CUB105 DDO105:DDX105 DNK105:DNT105 DXG105:DXP105 EHC105:EHL105 EQY105:ERH105 FAU105:FBD105 FKQ105:FKZ105 FUM105:FUV105 GEI105:GER105 GOE105:GON105 GYA105:GYJ105 HHW105:HIF105 HRS105:HSB105 IBO105:IBX105 ILK105:ILT105 IVG105:IVP105 JFC105:JFL105 JOY105:JPH105 JYU105:JZD105 KIQ105:KIZ105 KSM105:KSV105 LCI105:LCR105 LME105:LMN105 LWA105:LWJ105 MFW105:MGF105 MPS105:MQB105 MZO105:MZX105 NJK105:NJT105 NTG105:NTP105 ODC105:ODL105 OMY105:ONH105 OWU105:OXD105 PGQ105:PGZ105 PQM105:PQV105 QAI105:QAR105 QKE105:QKN105 QUA105:QUJ105 RDW105:REF105 RNS105:ROB105 RXO105:RXX105 SHK105:SHT105 SRG105:SRP105 TBC105:TBL105 TKY105:TLH105 TUU105:TVD105 UEQ105:UEZ105 UOM105:UOV105 UYI105:UYR105 VIE105:VIN105 VSA105:VSJ105 WBW105:WCF105 WLS105:WMB105 WVO105:WVX105 G65641:P65641 JC65641:JL65641 SY65641:TH65641 ACU65641:ADD65641 AMQ65641:AMZ65641 AWM65641:AWV65641 BGI65641:BGR65641 BQE65641:BQN65641 CAA65641:CAJ65641 CJW65641:CKF65641 CTS65641:CUB65641 DDO65641:DDX65641 DNK65641:DNT65641 DXG65641:DXP65641 EHC65641:EHL65641 EQY65641:ERH65641 FAU65641:FBD65641 FKQ65641:FKZ65641 FUM65641:FUV65641 GEI65641:GER65641 GOE65641:GON65641 GYA65641:GYJ65641 HHW65641:HIF65641 HRS65641:HSB65641 IBO65641:IBX65641 ILK65641:ILT65641 IVG65641:IVP65641 JFC65641:JFL65641 JOY65641:JPH65641 JYU65641:JZD65641 KIQ65641:KIZ65641 KSM65641:KSV65641 LCI65641:LCR65641 LME65641:LMN65641 LWA65641:LWJ65641 MFW65641:MGF65641 MPS65641:MQB65641 MZO65641:MZX65641 NJK65641:NJT65641 NTG65641:NTP65641 ODC65641:ODL65641 OMY65641:ONH65641 OWU65641:OXD65641 PGQ65641:PGZ65641 PQM65641:PQV65641 QAI65641:QAR65641 QKE65641:QKN65641 QUA65641:QUJ65641 RDW65641:REF65641 RNS65641:ROB65641 RXO65641:RXX65641 SHK65641:SHT65641 SRG65641:SRP65641 TBC65641:TBL65641 TKY65641:TLH65641 TUU65641:TVD65641 UEQ65641:UEZ65641 UOM65641:UOV65641 UYI65641:UYR65641 VIE65641:VIN65641 VSA65641:VSJ65641 WBW65641:WCF65641 WLS65641:WMB65641 WVO65641:WVX65641 G131177:P131177 JC131177:JL131177 SY131177:TH131177 ACU131177:ADD131177 AMQ131177:AMZ131177 AWM131177:AWV131177 BGI131177:BGR131177 BQE131177:BQN131177 CAA131177:CAJ131177 CJW131177:CKF131177 CTS131177:CUB131177 DDO131177:DDX131177 DNK131177:DNT131177 DXG131177:DXP131177 EHC131177:EHL131177 EQY131177:ERH131177 FAU131177:FBD131177 FKQ131177:FKZ131177 FUM131177:FUV131177 GEI131177:GER131177 GOE131177:GON131177 GYA131177:GYJ131177 HHW131177:HIF131177 HRS131177:HSB131177 IBO131177:IBX131177 ILK131177:ILT131177 IVG131177:IVP131177 JFC131177:JFL131177 JOY131177:JPH131177 JYU131177:JZD131177 KIQ131177:KIZ131177 KSM131177:KSV131177 LCI131177:LCR131177 LME131177:LMN131177 LWA131177:LWJ131177 MFW131177:MGF131177 MPS131177:MQB131177 MZO131177:MZX131177 NJK131177:NJT131177 NTG131177:NTP131177 ODC131177:ODL131177 OMY131177:ONH131177 OWU131177:OXD131177 PGQ131177:PGZ131177 PQM131177:PQV131177 QAI131177:QAR131177 QKE131177:QKN131177 QUA131177:QUJ131177 RDW131177:REF131177 RNS131177:ROB131177 RXO131177:RXX131177 SHK131177:SHT131177 SRG131177:SRP131177 TBC131177:TBL131177 TKY131177:TLH131177 TUU131177:TVD131177 UEQ131177:UEZ131177 UOM131177:UOV131177 UYI131177:UYR131177 VIE131177:VIN131177 VSA131177:VSJ131177 WBW131177:WCF131177 WLS131177:WMB131177 WVO131177:WVX131177 G196713:P196713 JC196713:JL196713 SY196713:TH196713 ACU196713:ADD196713 AMQ196713:AMZ196713 AWM196713:AWV196713 BGI196713:BGR196713 BQE196713:BQN196713 CAA196713:CAJ196713 CJW196713:CKF196713 CTS196713:CUB196713 DDO196713:DDX196713 DNK196713:DNT196713 DXG196713:DXP196713 EHC196713:EHL196713 EQY196713:ERH196713 FAU196713:FBD196713 FKQ196713:FKZ196713 FUM196713:FUV196713 GEI196713:GER196713 GOE196713:GON196713 GYA196713:GYJ196713 HHW196713:HIF196713 HRS196713:HSB196713 IBO196713:IBX196713 ILK196713:ILT196713 IVG196713:IVP196713 JFC196713:JFL196713 JOY196713:JPH196713 JYU196713:JZD196713 KIQ196713:KIZ196713 KSM196713:KSV196713 LCI196713:LCR196713 LME196713:LMN196713 LWA196713:LWJ196713 MFW196713:MGF196713 MPS196713:MQB196713 MZO196713:MZX196713 NJK196713:NJT196713 NTG196713:NTP196713 ODC196713:ODL196713 OMY196713:ONH196713 OWU196713:OXD196713 PGQ196713:PGZ196713 PQM196713:PQV196713 QAI196713:QAR196713 QKE196713:QKN196713 QUA196713:QUJ196713 RDW196713:REF196713 RNS196713:ROB196713 RXO196713:RXX196713 SHK196713:SHT196713 SRG196713:SRP196713 TBC196713:TBL196713 TKY196713:TLH196713 TUU196713:TVD196713 UEQ196713:UEZ196713 UOM196713:UOV196713 UYI196713:UYR196713 VIE196713:VIN196713 VSA196713:VSJ196713 WBW196713:WCF196713 WLS196713:WMB196713 WVO196713:WVX196713 G262249:P262249 JC262249:JL262249 SY262249:TH262249 ACU262249:ADD262249 AMQ262249:AMZ262249 AWM262249:AWV262249 BGI262249:BGR262249 BQE262249:BQN262249 CAA262249:CAJ262249 CJW262249:CKF262249 CTS262249:CUB262249 DDO262249:DDX262249 DNK262249:DNT262249 DXG262249:DXP262249 EHC262249:EHL262249 EQY262249:ERH262249 FAU262249:FBD262249 FKQ262249:FKZ262249 FUM262249:FUV262249 GEI262249:GER262249 GOE262249:GON262249 GYA262249:GYJ262249 HHW262249:HIF262249 HRS262249:HSB262249 IBO262249:IBX262249 ILK262249:ILT262249 IVG262249:IVP262249 JFC262249:JFL262249 JOY262249:JPH262249 JYU262249:JZD262249 KIQ262249:KIZ262249 KSM262249:KSV262249 LCI262249:LCR262249 LME262249:LMN262249 LWA262249:LWJ262249 MFW262249:MGF262249 MPS262249:MQB262249 MZO262249:MZX262249 NJK262249:NJT262249 NTG262249:NTP262249 ODC262249:ODL262249 OMY262249:ONH262249 OWU262249:OXD262249 PGQ262249:PGZ262249 PQM262249:PQV262249 QAI262249:QAR262249 QKE262249:QKN262249 QUA262249:QUJ262249 RDW262249:REF262249 RNS262249:ROB262249 RXO262249:RXX262249 SHK262249:SHT262249 SRG262249:SRP262249 TBC262249:TBL262249 TKY262249:TLH262249 TUU262249:TVD262249 UEQ262249:UEZ262249 UOM262249:UOV262249 UYI262249:UYR262249 VIE262249:VIN262249 VSA262249:VSJ262249 WBW262249:WCF262249 WLS262249:WMB262249 WVO262249:WVX262249 G327785:P327785 JC327785:JL327785 SY327785:TH327785 ACU327785:ADD327785 AMQ327785:AMZ327785 AWM327785:AWV327785 BGI327785:BGR327785 BQE327785:BQN327785 CAA327785:CAJ327785 CJW327785:CKF327785 CTS327785:CUB327785 DDO327785:DDX327785 DNK327785:DNT327785 DXG327785:DXP327785 EHC327785:EHL327785 EQY327785:ERH327785 FAU327785:FBD327785 FKQ327785:FKZ327785 FUM327785:FUV327785 GEI327785:GER327785 GOE327785:GON327785 GYA327785:GYJ327785 HHW327785:HIF327785 HRS327785:HSB327785 IBO327785:IBX327785 ILK327785:ILT327785 IVG327785:IVP327785 JFC327785:JFL327785 JOY327785:JPH327785 JYU327785:JZD327785 KIQ327785:KIZ327785 KSM327785:KSV327785 LCI327785:LCR327785 LME327785:LMN327785 LWA327785:LWJ327785 MFW327785:MGF327785 MPS327785:MQB327785 MZO327785:MZX327785 NJK327785:NJT327785 NTG327785:NTP327785 ODC327785:ODL327785 OMY327785:ONH327785 OWU327785:OXD327785 PGQ327785:PGZ327785 PQM327785:PQV327785 QAI327785:QAR327785 QKE327785:QKN327785 QUA327785:QUJ327785 RDW327785:REF327785 RNS327785:ROB327785 RXO327785:RXX327785 SHK327785:SHT327785 SRG327785:SRP327785 TBC327785:TBL327785 TKY327785:TLH327785 TUU327785:TVD327785 UEQ327785:UEZ327785 UOM327785:UOV327785 UYI327785:UYR327785 VIE327785:VIN327785 VSA327785:VSJ327785 WBW327785:WCF327785 WLS327785:WMB327785 WVO327785:WVX327785 G393321:P393321 JC393321:JL393321 SY393321:TH393321 ACU393321:ADD393321 AMQ393321:AMZ393321 AWM393321:AWV393321 BGI393321:BGR393321 BQE393321:BQN393321 CAA393321:CAJ393321 CJW393321:CKF393321 CTS393321:CUB393321 DDO393321:DDX393321 DNK393321:DNT393321 DXG393321:DXP393321 EHC393321:EHL393321 EQY393321:ERH393321 FAU393321:FBD393321 FKQ393321:FKZ393321 FUM393321:FUV393321 GEI393321:GER393321 GOE393321:GON393321 GYA393321:GYJ393321 HHW393321:HIF393321 HRS393321:HSB393321 IBO393321:IBX393321 ILK393321:ILT393321 IVG393321:IVP393321 JFC393321:JFL393321 JOY393321:JPH393321 JYU393321:JZD393321 KIQ393321:KIZ393321 KSM393321:KSV393321 LCI393321:LCR393321 LME393321:LMN393321 LWA393321:LWJ393321 MFW393321:MGF393321 MPS393321:MQB393321 MZO393321:MZX393321 NJK393321:NJT393321 NTG393321:NTP393321 ODC393321:ODL393321 OMY393321:ONH393321 OWU393321:OXD393321 PGQ393321:PGZ393321 PQM393321:PQV393321 QAI393321:QAR393321 QKE393321:QKN393321 QUA393321:QUJ393321 RDW393321:REF393321 RNS393321:ROB393321 RXO393321:RXX393321 SHK393321:SHT393321 SRG393321:SRP393321 TBC393321:TBL393321 TKY393321:TLH393321 TUU393321:TVD393321 UEQ393321:UEZ393321 UOM393321:UOV393321 UYI393321:UYR393321 VIE393321:VIN393321 VSA393321:VSJ393321 WBW393321:WCF393321 WLS393321:WMB393321 WVO393321:WVX393321 G458857:P458857 JC458857:JL458857 SY458857:TH458857 ACU458857:ADD458857 AMQ458857:AMZ458857 AWM458857:AWV458857 BGI458857:BGR458857 BQE458857:BQN458857 CAA458857:CAJ458857 CJW458857:CKF458857 CTS458857:CUB458857 DDO458857:DDX458857 DNK458857:DNT458857 DXG458857:DXP458857 EHC458857:EHL458857 EQY458857:ERH458857 FAU458857:FBD458857 FKQ458857:FKZ458857 FUM458857:FUV458857 GEI458857:GER458857 GOE458857:GON458857 GYA458857:GYJ458857 HHW458857:HIF458857 HRS458857:HSB458857 IBO458857:IBX458857 ILK458857:ILT458857 IVG458857:IVP458857 JFC458857:JFL458857 JOY458857:JPH458857 JYU458857:JZD458857 KIQ458857:KIZ458857 KSM458857:KSV458857 LCI458857:LCR458857 LME458857:LMN458857 LWA458857:LWJ458857 MFW458857:MGF458857 MPS458857:MQB458857 MZO458857:MZX458857 NJK458857:NJT458857 NTG458857:NTP458857 ODC458857:ODL458857 OMY458857:ONH458857 OWU458857:OXD458857 PGQ458857:PGZ458857 PQM458857:PQV458857 QAI458857:QAR458857 QKE458857:QKN458857 QUA458857:QUJ458857 RDW458857:REF458857 RNS458857:ROB458857 RXO458857:RXX458857 SHK458857:SHT458857 SRG458857:SRP458857 TBC458857:TBL458857 TKY458857:TLH458857 TUU458857:TVD458857 UEQ458857:UEZ458857 UOM458857:UOV458857 UYI458857:UYR458857 VIE458857:VIN458857 VSA458857:VSJ458857 WBW458857:WCF458857 WLS458857:WMB458857 WVO458857:WVX458857 G524393:P524393 JC524393:JL524393 SY524393:TH524393 ACU524393:ADD524393 AMQ524393:AMZ524393 AWM524393:AWV524393 BGI524393:BGR524393 BQE524393:BQN524393 CAA524393:CAJ524393 CJW524393:CKF524393 CTS524393:CUB524393 DDO524393:DDX524393 DNK524393:DNT524393 DXG524393:DXP524393 EHC524393:EHL524393 EQY524393:ERH524393 FAU524393:FBD524393 FKQ524393:FKZ524393 FUM524393:FUV524393 GEI524393:GER524393 GOE524393:GON524393 GYA524393:GYJ524393 HHW524393:HIF524393 HRS524393:HSB524393 IBO524393:IBX524393 ILK524393:ILT524393 IVG524393:IVP524393 JFC524393:JFL524393 JOY524393:JPH524393 JYU524393:JZD524393 KIQ524393:KIZ524393 KSM524393:KSV524393 LCI524393:LCR524393 LME524393:LMN524393 LWA524393:LWJ524393 MFW524393:MGF524393 MPS524393:MQB524393 MZO524393:MZX524393 NJK524393:NJT524393 NTG524393:NTP524393 ODC524393:ODL524393 OMY524393:ONH524393 OWU524393:OXD524393 PGQ524393:PGZ524393 PQM524393:PQV524393 QAI524393:QAR524393 QKE524393:QKN524393 QUA524393:QUJ524393 RDW524393:REF524393 RNS524393:ROB524393 RXO524393:RXX524393 SHK524393:SHT524393 SRG524393:SRP524393 TBC524393:TBL524393 TKY524393:TLH524393 TUU524393:TVD524393 UEQ524393:UEZ524393 UOM524393:UOV524393 UYI524393:UYR524393 VIE524393:VIN524393 VSA524393:VSJ524393 WBW524393:WCF524393 WLS524393:WMB524393 WVO524393:WVX524393 G589929:P589929 JC589929:JL589929 SY589929:TH589929 ACU589929:ADD589929 AMQ589929:AMZ589929 AWM589929:AWV589929 BGI589929:BGR589929 BQE589929:BQN589929 CAA589929:CAJ589929 CJW589929:CKF589929 CTS589929:CUB589929 DDO589929:DDX589929 DNK589929:DNT589929 DXG589929:DXP589929 EHC589929:EHL589929 EQY589929:ERH589929 FAU589929:FBD589929 FKQ589929:FKZ589929 FUM589929:FUV589929 GEI589929:GER589929 GOE589929:GON589929 GYA589929:GYJ589929 HHW589929:HIF589929 HRS589929:HSB589929 IBO589929:IBX589929 ILK589929:ILT589929 IVG589929:IVP589929 JFC589929:JFL589929 JOY589929:JPH589929 JYU589929:JZD589929 KIQ589929:KIZ589929 KSM589929:KSV589929 LCI589929:LCR589929 LME589929:LMN589929 LWA589929:LWJ589929 MFW589929:MGF589929 MPS589929:MQB589929 MZO589929:MZX589929 NJK589929:NJT589929 NTG589929:NTP589929 ODC589929:ODL589929 OMY589929:ONH589929 OWU589929:OXD589929 PGQ589929:PGZ589929 PQM589929:PQV589929 QAI589929:QAR589929 QKE589929:QKN589929 QUA589929:QUJ589929 RDW589929:REF589929 RNS589929:ROB589929 RXO589929:RXX589929 SHK589929:SHT589929 SRG589929:SRP589929 TBC589929:TBL589929 TKY589929:TLH589929 TUU589929:TVD589929 UEQ589929:UEZ589929 UOM589929:UOV589929 UYI589929:UYR589929 VIE589929:VIN589929 VSA589929:VSJ589929 WBW589929:WCF589929 WLS589929:WMB589929 WVO589929:WVX589929 G655465:P655465 JC655465:JL655465 SY655465:TH655465 ACU655465:ADD655465 AMQ655465:AMZ655465 AWM655465:AWV655465 BGI655465:BGR655465 BQE655465:BQN655465 CAA655465:CAJ655465 CJW655465:CKF655465 CTS655465:CUB655465 DDO655465:DDX655465 DNK655465:DNT655465 DXG655465:DXP655465 EHC655465:EHL655465 EQY655465:ERH655465 FAU655465:FBD655465 FKQ655465:FKZ655465 FUM655465:FUV655465 GEI655465:GER655465 GOE655465:GON655465 GYA655465:GYJ655465 HHW655465:HIF655465 HRS655465:HSB655465 IBO655465:IBX655465 ILK655465:ILT655465 IVG655465:IVP655465 JFC655465:JFL655465 JOY655465:JPH655465 JYU655465:JZD655465 KIQ655465:KIZ655465 KSM655465:KSV655465 LCI655465:LCR655465 LME655465:LMN655465 LWA655465:LWJ655465 MFW655465:MGF655465 MPS655465:MQB655465 MZO655465:MZX655465 NJK655465:NJT655465 NTG655465:NTP655465 ODC655465:ODL655465 OMY655465:ONH655465 OWU655465:OXD655465 PGQ655465:PGZ655465 PQM655465:PQV655465 QAI655465:QAR655465 QKE655465:QKN655465 QUA655465:QUJ655465 RDW655465:REF655465 RNS655465:ROB655465 RXO655465:RXX655465 SHK655465:SHT655465 SRG655465:SRP655465 TBC655465:TBL655465 TKY655465:TLH655465 TUU655465:TVD655465 UEQ655465:UEZ655465 UOM655465:UOV655465 UYI655465:UYR655465 VIE655465:VIN655465 VSA655465:VSJ655465 WBW655465:WCF655465 WLS655465:WMB655465 WVO655465:WVX655465 G721001:P721001 JC721001:JL721001 SY721001:TH721001 ACU721001:ADD721001 AMQ721001:AMZ721001 AWM721001:AWV721001 BGI721001:BGR721001 BQE721001:BQN721001 CAA721001:CAJ721001 CJW721001:CKF721001 CTS721001:CUB721001 DDO721001:DDX721001 DNK721001:DNT721001 DXG721001:DXP721001 EHC721001:EHL721001 EQY721001:ERH721001 FAU721001:FBD721001 FKQ721001:FKZ721001 FUM721001:FUV721001 GEI721001:GER721001 GOE721001:GON721001 GYA721001:GYJ721001 HHW721001:HIF721001 HRS721001:HSB721001 IBO721001:IBX721001 ILK721001:ILT721001 IVG721001:IVP721001 JFC721001:JFL721001 JOY721001:JPH721001 JYU721001:JZD721001 KIQ721001:KIZ721001 KSM721001:KSV721001 LCI721001:LCR721001 LME721001:LMN721001 LWA721001:LWJ721001 MFW721001:MGF721001 MPS721001:MQB721001 MZO721001:MZX721001 NJK721001:NJT721001 NTG721001:NTP721001 ODC721001:ODL721001 OMY721001:ONH721001 OWU721001:OXD721001 PGQ721001:PGZ721001 PQM721001:PQV721001 QAI721001:QAR721001 QKE721001:QKN721001 QUA721001:QUJ721001 RDW721001:REF721001 RNS721001:ROB721001 RXO721001:RXX721001 SHK721001:SHT721001 SRG721001:SRP721001 TBC721001:TBL721001 TKY721001:TLH721001 TUU721001:TVD721001 UEQ721001:UEZ721001 UOM721001:UOV721001 UYI721001:UYR721001 VIE721001:VIN721001 VSA721001:VSJ721001 WBW721001:WCF721001 WLS721001:WMB721001 WVO721001:WVX721001 G786537:P786537 JC786537:JL786537 SY786537:TH786537 ACU786537:ADD786537 AMQ786537:AMZ786537 AWM786537:AWV786537 BGI786537:BGR786537 BQE786537:BQN786537 CAA786537:CAJ786537 CJW786537:CKF786537 CTS786537:CUB786537 DDO786537:DDX786537 DNK786537:DNT786537 DXG786537:DXP786537 EHC786537:EHL786537 EQY786537:ERH786537 FAU786537:FBD786537 FKQ786537:FKZ786537 FUM786537:FUV786537 GEI786537:GER786537 GOE786537:GON786537 GYA786537:GYJ786537 HHW786537:HIF786537 HRS786537:HSB786537 IBO786537:IBX786537 ILK786537:ILT786537 IVG786537:IVP786537 JFC786537:JFL786537 JOY786537:JPH786537 JYU786537:JZD786537 KIQ786537:KIZ786537 KSM786537:KSV786537 LCI786537:LCR786537 LME786537:LMN786537 LWA786537:LWJ786537 MFW786537:MGF786537 MPS786537:MQB786537 MZO786537:MZX786537 NJK786537:NJT786537 NTG786537:NTP786537 ODC786537:ODL786537 OMY786537:ONH786537 OWU786537:OXD786537 PGQ786537:PGZ786537 PQM786537:PQV786537 QAI786537:QAR786537 QKE786537:QKN786537 QUA786537:QUJ786537 RDW786537:REF786537 RNS786537:ROB786537 RXO786537:RXX786537 SHK786537:SHT786537 SRG786537:SRP786537 TBC786537:TBL786537 TKY786537:TLH786537 TUU786537:TVD786537 UEQ786537:UEZ786537 UOM786537:UOV786537 UYI786537:UYR786537 VIE786537:VIN786537 VSA786537:VSJ786537 WBW786537:WCF786537 WLS786537:WMB786537 WVO786537:WVX786537 G852073:P852073 JC852073:JL852073 SY852073:TH852073 ACU852073:ADD852073 AMQ852073:AMZ852073 AWM852073:AWV852073 BGI852073:BGR852073 BQE852073:BQN852073 CAA852073:CAJ852073 CJW852073:CKF852073 CTS852073:CUB852073 DDO852073:DDX852073 DNK852073:DNT852073 DXG852073:DXP852073 EHC852073:EHL852073 EQY852073:ERH852073 FAU852073:FBD852073 FKQ852073:FKZ852073 FUM852073:FUV852073 GEI852073:GER852073 GOE852073:GON852073 GYA852073:GYJ852073 HHW852073:HIF852073 HRS852073:HSB852073 IBO852073:IBX852073 ILK852073:ILT852073 IVG852073:IVP852073 JFC852073:JFL852073 JOY852073:JPH852073 JYU852073:JZD852073 KIQ852073:KIZ852073 KSM852073:KSV852073 LCI852073:LCR852073 LME852073:LMN852073 LWA852073:LWJ852073 MFW852073:MGF852073 MPS852073:MQB852073 MZO852073:MZX852073 NJK852073:NJT852073 NTG852073:NTP852073 ODC852073:ODL852073 OMY852073:ONH852073 OWU852073:OXD852073 PGQ852073:PGZ852073 PQM852073:PQV852073 QAI852073:QAR852073 QKE852073:QKN852073 QUA852073:QUJ852073 RDW852073:REF852073 RNS852073:ROB852073 RXO852073:RXX852073 SHK852073:SHT852073 SRG852073:SRP852073 TBC852073:TBL852073 TKY852073:TLH852073 TUU852073:TVD852073 UEQ852073:UEZ852073 UOM852073:UOV852073 UYI852073:UYR852073 VIE852073:VIN852073 VSA852073:VSJ852073 WBW852073:WCF852073 WLS852073:WMB852073 WVO852073:WVX852073 G917609:P917609 JC917609:JL917609 SY917609:TH917609 ACU917609:ADD917609 AMQ917609:AMZ917609 AWM917609:AWV917609 BGI917609:BGR917609 BQE917609:BQN917609 CAA917609:CAJ917609 CJW917609:CKF917609 CTS917609:CUB917609 DDO917609:DDX917609 DNK917609:DNT917609 DXG917609:DXP917609 EHC917609:EHL917609 EQY917609:ERH917609 FAU917609:FBD917609 FKQ917609:FKZ917609 FUM917609:FUV917609 GEI917609:GER917609 GOE917609:GON917609 GYA917609:GYJ917609 HHW917609:HIF917609 HRS917609:HSB917609 IBO917609:IBX917609 ILK917609:ILT917609 IVG917609:IVP917609 JFC917609:JFL917609 JOY917609:JPH917609 JYU917609:JZD917609 KIQ917609:KIZ917609 KSM917609:KSV917609 LCI917609:LCR917609 LME917609:LMN917609 LWA917609:LWJ917609 MFW917609:MGF917609 MPS917609:MQB917609 MZO917609:MZX917609 NJK917609:NJT917609 NTG917609:NTP917609 ODC917609:ODL917609 OMY917609:ONH917609 OWU917609:OXD917609 PGQ917609:PGZ917609 PQM917609:PQV917609 QAI917609:QAR917609 QKE917609:QKN917609 QUA917609:QUJ917609 RDW917609:REF917609 RNS917609:ROB917609 RXO917609:RXX917609 SHK917609:SHT917609 SRG917609:SRP917609 TBC917609:TBL917609 TKY917609:TLH917609 TUU917609:TVD917609 UEQ917609:UEZ917609 UOM917609:UOV917609 UYI917609:UYR917609 VIE917609:VIN917609 VSA917609:VSJ917609 WBW917609:WCF917609 WLS917609:WMB917609 WVO917609:WVX917609 G983145:P983145 JC983145:JL983145 SY983145:TH983145 ACU983145:ADD983145 AMQ983145:AMZ983145 AWM983145:AWV983145 BGI983145:BGR983145 BQE983145:BQN983145 CAA983145:CAJ983145 CJW983145:CKF983145 CTS983145:CUB983145 DDO983145:DDX983145 DNK983145:DNT983145 DXG983145:DXP983145 EHC983145:EHL983145 EQY983145:ERH983145 FAU983145:FBD983145 FKQ983145:FKZ983145 FUM983145:FUV983145 GEI983145:GER983145 GOE983145:GON983145 GYA983145:GYJ983145 HHW983145:HIF983145 HRS983145:HSB983145 IBO983145:IBX983145 ILK983145:ILT983145 IVG983145:IVP983145 JFC983145:JFL983145 JOY983145:JPH983145 JYU983145:JZD983145 KIQ983145:KIZ983145 KSM983145:KSV983145 LCI983145:LCR983145 LME983145:LMN983145 LWA983145:LWJ983145 MFW983145:MGF983145 MPS983145:MQB983145 MZO983145:MZX983145 NJK983145:NJT983145 NTG983145:NTP983145 ODC983145:ODL983145 OMY983145:ONH983145 OWU983145:OXD983145 PGQ983145:PGZ983145 PQM983145:PQV983145 QAI983145:QAR983145 QKE983145:QKN983145 QUA983145:QUJ983145 RDW983145:REF983145 RNS983145:ROB983145 RXO983145:RXX983145 SHK983145:SHT983145 SRG983145:SRP983145 TBC983145:TBL983145 TKY983145:TLH983145 TUU983145:TVD983145 UEQ983145:UEZ983145 UOM983145:UOV983145 UYI983145:UYR983145 VIE983145:VIN983145 VSA983145:VSJ983145 WBW983145:WCF983145 WLS983145:WMB983145 WVO983145:WVX983145 G74:P75 JC74:JL75 SY74:TH75 ACU74:ADD75 AMQ74:AMZ75 AWM74:AWV75 BGI74:BGR75 BQE74:BQN75 CAA74:CAJ75 CJW74:CKF75 CTS74:CUB75 DDO74:DDX75 DNK74:DNT75 DXG74:DXP75 EHC74:EHL75 EQY74:ERH75 FAU74:FBD75 FKQ74:FKZ75 FUM74:FUV75 GEI74:GER75 GOE74:GON75 GYA74:GYJ75 HHW74:HIF75 HRS74:HSB75 IBO74:IBX75 ILK74:ILT75 IVG74:IVP75 JFC74:JFL75 JOY74:JPH75 JYU74:JZD75 KIQ74:KIZ75 KSM74:KSV75 LCI74:LCR75 LME74:LMN75 LWA74:LWJ75 MFW74:MGF75 MPS74:MQB75 MZO74:MZX75 NJK74:NJT75 NTG74:NTP75 ODC74:ODL75 OMY74:ONH75 OWU74:OXD75 PGQ74:PGZ75 PQM74:PQV75 QAI74:QAR75 QKE74:QKN75 QUA74:QUJ75 RDW74:REF75 RNS74:ROB75 RXO74:RXX75 SHK74:SHT75 SRG74:SRP75 TBC74:TBL75 TKY74:TLH75 TUU74:TVD75 UEQ74:UEZ75 UOM74:UOV75 UYI74:UYR75 VIE74:VIN75 VSA74:VSJ75 WBW74:WCF75 WLS74:WMB75 WVO74:WVX75 G65610:P65611 JC65610:JL65611 SY65610:TH65611 ACU65610:ADD65611 AMQ65610:AMZ65611 AWM65610:AWV65611 BGI65610:BGR65611 BQE65610:BQN65611 CAA65610:CAJ65611 CJW65610:CKF65611 CTS65610:CUB65611 DDO65610:DDX65611 DNK65610:DNT65611 DXG65610:DXP65611 EHC65610:EHL65611 EQY65610:ERH65611 FAU65610:FBD65611 FKQ65610:FKZ65611 FUM65610:FUV65611 GEI65610:GER65611 GOE65610:GON65611 GYA65610:GYJ65611 HHW65610:HIF65611 HRS65610:HSB65611 IBO65610:IBX65611 ILK65610:ILT65611 IVG65610:IVP65611 JFC65610:JFL65611 JOY65610:JPH65611 JYU65610:JZD65611 KIQ65610:KIZ65611 KSM65610:KSV65611 LCI65610:LCR65611 LME65610:LMN65611 LWA65610:LWJ65611 MFW65610:MGF65611 MPS65610:MQB65611 MZO65610:MZX65611 NJK65610:NJT65611 NTG65610:NTP65611 ODC65610:ODL65611 OMY65610:ONH65611 OWU65610:OXD65611 PGQ65610:PGZ65611 PQM65610:PQV65611 QAI65610:QAR65611 QKE65610:QKN65611 QUA65610:QUJ65611 RDW65610:REF65611 RNS65610:ROB65611 RXO65610:RXX65611 SHK65610:SHT65611 SRG65610:SRP65611 TBC65610:TBL65611 TKY65610:TLH65611 TUU65610:TVD65611 UEQ65610:UEZ65611 UOM65610:UOV65611 UYI65610:UYR65611 VIE65610:VIN65611 VSA65610:VSJ65611 WBW65610:WCF65611 WLS65610:WMB65611 WVO65610:WVX65611 G131146:P131147 JC131146:JL131147 SY131146:TH131147 ACU131146:ADD131147 AMQ131146:AMZ131147 AWM131146:AWV131147 BGI131146:BGR131147 BQE131146:BQN131147 CAA131146:CAJ131147 CJW131146:CKF131147 CTS131146:CUB131147 DDO131146:DDX131147 DNK131146:DNT131147 DXG131146:DXP131147 EHC131146:EHL131147 EQY131146:ERH131147 FAU131146:FBD131147 FKQ131146:FKZ131147 FUM131146:FUV131147 GEI131146:GER131147 GOE131146:GON131147 GYA131146:GYJ131147 HHW131146:HIF131147 HRS131146:HSB131147 IBO131146:IBX131147 ILK131146:ILT131147 IVG131146:IVP131147 JFC131146:JFL131147 JOY131146:JPH131147 JYU131146:JZD131147 KIQ131146:KIZ131147 KSM131146:KSV131147 LCI131146:LCR131147 LME131146:LMN131147 LWA131146:LWJ131147 MFW131146:MGF131147 MPS131146:MQB131147 MZO131146:MZX131147 NJK131146:NJT131147 NTG131146:NTP131147 ODC131146:ODL131147 OMY131146:ONH131147 OWU131146:OXD131147 PGQ131146:PGZ131147 PQM131146:PQV131147 QAI131146:QAR131147 QKE131146:QKN131147 QUA131146:QUJ131147 RDW131146:REF131147 RNS131146:ROB131147 RXO131146:RXX131147 SHK131146:SHT131147 SRG131146:SRP131147 TBC131146:TBL131147 TKY131146:TLH131147 TUU131146:TVD131147 UEQ131146:UEZ131147 UOM131146:UOV131147 UYI131146:UYR131147 VIE131146:VIN131147 VSA131146:VSJ131147 WBW131146:WCF131147 WLS131146:WMB131147 WVO131146:WVX131147 G196682:P196683 JC196682:JL196683 SY196682:TH196683 ACU196682:ADD196683 AMQ196682:AMZ196683 AWM196682:AWV196683 BGI196682:BGR196683 BQE196682:BQN196683 CAA196682:CAJ196683 CJW196682:CKF196683 CTS196682:CUB196683 DDO196682:DDX196683 DNK196682:DNT196683 DXG196682:DXP196683 EHC196682:EHL196683 EQY196682:ERH196683 FAU196682:FBD196683 FKQ196682:FKZ196683 FUM196682:FUV196683 GEI196682:GER196683 GOE196682:GON196683 GYA196682:GYJ196683 HHW196682:HIF196683 HRS196682:HSB196683 IBO196682:IBX196683 ILK196682:ILT196683 IVG196682:IVP196683 JFC196682:JFL196683 JOY196682:JPH196683 JYU196682:JZD196683 KIQ196682:KIZ196683 KSM196682:KSV196683 LCI196682:LCR196683 LME196682:LMN196683 LWA196682:LWJ196683 MFW196682:MGF196683 MPS196682:MQB196683 MZO196682:MZX196683 NJK196682:NJT196683 NTG196682:NTP196683 ODC196682:ODL196683 OMY196682:ONH196683 OWU196682:OXD196683 PGQ196682:PGZ196683 PQM196682:PQV196683 QAI196682:QAR196683 QKE196682:QKN196683 QUA196682:QUJ196683 RDW196682:REF196683 RNS196682:ROB196683 RXO196682:RXX196683 SHK196682:SHT196683 SRG196682:SRP196683 TBC196682:TBL196683 TKY196682:TLH196683 TUU196682:TVD196683 UEQ196682:UEZ196683 UOM196682:UOV196683 UYI196682:UYR196683 VIE196682:VIN196683 VSA196682:VSJ196683 WBW196682:WCF196683 WLS196682:WMB196683 WVO196682:WVX196683 G262218:P262219 JC262218:JL262219 SY262218:TH262219 ACU262218:ADD262219 AMQ262218:AMZ262219 AWM262218:AWV262219 BGI262218:BGR262219 BQE262218:BQN262219 CAA262218:CAJ262219 CJW262218:CKF262219 CTS262218:CUB262219 DDO262218:DDX262219 DNK262218:DNT262219 DXG262218:DXP262219 EHC262218:EHL262219 EQY262218:ERH262219 FAU262218:FBD262219 FKQ262218:FKZ262219 FUM262218:FUV262219 GEI262218:GER262219 GOE262218:GON262219 GYA262218:GYJ262219 HHW262218:HIF262219 HRS262218:HSB262219 IBO262218:IBX262219 ILK262218:ILT262219 IVG262218:IVP262219 JFC262218:JFL262219 JOY262218:JPH262219 JYU262218:JZD262219 KIQ262218:KIZ262219 KSM262218:KSV262219 LCI262218:LCR262219 LME262218:LMN262219 LWA262218:LWJ262219 MFW262218:MGF262219 MPS262218:MQB262219 MZO262218:MZX262219 NJK262218:NJT262219 NTG262218:NTP262219 ODC262218:ODL262219 OMY262218:ONH262219 OWU262218:OXD262219 PGQ262218:PGZ262219 PQM262218:PQV262219 QAI262218:QAR262219 QKE262218:QKN262219 QUA262218:QUJ262219 RDW262218:REF262219 RNS262218:ROB262219 RXO262218:RXX262219 SHK262218:SHT262219 SRG262218:SRP262219 TBC262218:TBL262219 TKY262218:TLH262219 TUU262218:TVD262219 UEQ262218:UEZ262219 UOM262218:UOV262219 UYI262218:UYR262219 VIE262218:VIN262219 VSA262218:VSJ262219 WBW262218:WCF262219 WLS262218:WMB262219 WVO262218:WVX262219 G327754:P327755 JC327754:JL327755 SY327754:TH327755 ACU327754:ADD327755 AMQ327754:AMZ327755 AWM327754:AWV327755 BGI327754:BGR327755 BQE327754:BQN327755 CAA327754:CAJ327755 CJW327754:CKF327755 CTS327754:CUB327755 DDO327754:DDX327755 DNK327754:DNT327755 DXG327754:DXP327755 EHC327754:EHL327755 EQY327754:ERH327755 FAU327754:FBD327755 FKQ327754:FKZ327755 FUM327754:FUV327755 GEI327754:GER327755 GOE327754:GON327755 GYA327754:GYJ327755 HHW327754:HIF327755 HRS327754:HSB327755 IBO327754:IBX327755 ILK327754:ILT327755 IVG327754:IVP327755 JFC327754:JFL327755 JOY327754:JPH327755 JYU327754:JZD327755 KIQ327754:KIZ327755 KSM327754:KSV327755 LCI327754:LCR327755 LME327754:LMN327755 LWA327754:LWJ327755 MFW327754:MGF327755 MPS327754:MQB327755 MZO327754:MZX327755 NJK327754:NJT327755 NTG327754:NTP327755 ODC327754:ODL327755 OMY327754:ONH327755 OWU327754:OXD327755 PGQ327754:PGZ327755 PQM327754:PQV327755 QAI327754:QAR327755 QKE327754:QKN327755 QUA327754:QUJ327755 RDW327754:REF327755 RNS327754:ROB327755 RXO327754:RXX327755 SHK327754:SHT327755 SRG327754:SRP327755 TBC327754:TBL327755 TKY327754:TLH327755 TUU327754:TVD327755 UEQ327754:UEZ327755 UOM327754:UOV327755 UYI327754:UYR327755 VIE327754:VIN327755 VSA327754:VSJ327755 WBW327754:WCF327755 WLS327754:WMB327755 WVO327754:WVX327755 G393290:P393291 JC393290:JL393291 SY393290:TH393291 ACU393290:ADD393291 AMQ393290:AMZ393291 AWM393290:AWV393291 BGI393290:BGR393291 BQE393290:BQN393291 CAA393290:CAJ393291 CJW393290:CKF393291 CTS393290:CUB393291 DDO393290:DDX393291 DNK393290:DNT393291 DXG393290:DXP393291 EHC393290:EHL393291 EQY393290:ERH393291 FAU393290:FBD393291 FKQ393290:FKZ393291 FUM393290:FUV393291 GEI393290:GER393291 GOE393290:GON393291 GYA393290:GYJ393291 HHW393290:HIF393291 HRS393290:HSB393291 IBO393290:IBX393291 ILK393290:ILT393291 IVG393290:IVP393291 JFC393290:JFL393291 JOY393290:JPH393291 JYU393290:JZD393291 KIQ393290:KIZ393291 KSM393290:KSV393291 LCI393290:LCR393291 LME393290:LMN393291 LWA393290:LWJ393291 MFW393290:MGF393291 MPS393290:MQB393291 MZO393290:MZX393291 NJK393290:NJT393291 NTG393290:NTP393291 ODC393290:ODL393291 OMY393290:ONH393291 OWU393290:OXD393291 PGQ393290:PGZ393291 PQM393290:PQV393291 QAI393290:QAR393291 QKE393290:QKN393291 QUA393290:QUJ393291 RDW393290:REF393291 RNS393290:ROB393291 RXO393290:RXX393291 SHK393290:SHT393291 SRG393290:SRP393291 TBC393290:TBL393291 TKY393290:TLH393291 TUU393290:TVD393291 UEQ393290:UEZ393291 UOM393290:UOV393291 UYI393290:UYR393291 VIE393290:VIN393291 VSA393290:VSJ393291 WBW393290:WCF393291 WLS393290:WMB393291 WVO393290:WVX393291 G458826:P458827 JC458826:JL458827 SY458826:TH458827 ACU458826:ADD458827 AMQ458826:AMZ458827 AWM458826:AWV458827 BGI458826:BGR458827 BQE458826:BQN458827 CAA458826:CAJ458827 CJW458826:CKF458827 CTS458826:CUB458827 DDO458826:DDX458827 DNK458826:DNT458827 DXG458826:DXP458827 EHC458826:EHL458827 EQY458826:ERH458827 FAU458826:FBD458827 FKQ458826:FKZ458827 FUM458826:FUV458827 GEI458826:GER458827 GOE458826:GON458827 GYA458826:GYJ458827 HHW458826:HIF458827 HRS458826:HSB458827 IBO458826:IBX458827 ILK458826:ILT458827 IVG458826:IVP458827 JFC458826:JFL458827 JOY458826:JPH458827 JYU458826:JZD458827 KIQ458826:KIZ458827 KSM458826:KSV458827 LCI458826:LCR458827 LME458826:LMN458827 LWA458826:LWJ458827 MFW458826:MGF458827 MPS458826:MQB458827 MZO458826:MZX458827 NJK458826:NJT458827 NTG458826:NTP458827 ODC458826:ODL458827 OMY458826:ONH458827 OWU458826:OXD458827 PGQ458826:PGZ458827 PQM458826:PQV458827 QAI458826:QAR458827 QKE458826:QKN458827 QUA458826:QUJ458827 RDW458826:REF458827 RNS458826:ROB458827 RXO458826:RXX458827 SHK458826:SHT458827 SRG458826:SRP458827 TBC458826:TBL458827 TKY458826:TLH458827 TUU458826:TVD458827 UEQ458826:UEZ458827 UOM458826:UOV458827 UYI458826:UYR458827 VIE458826:VIN458827 VSA458826:VSJ458827 WBW458826:WCF458827 WLS458826:WMB458827 WVO458826:WVX458827 G524362:P524363 JC524362:JL524363 SY524362:TH524363 ACU524362:ADD524363 AMQ524362:AMZ524363 AWM524362:AWV524363 BGI524362:BGR524363 BQE524362:BQN524363 CAA524362:CAJ524363 CJW524362:CKF524363 CTS524362:CUB524363 DDO524362:DDX524363 DNK524362:DNT524363 DXG524362:DXP524363 EHC524362:EHL524363 EQY524362:ERH524363 FAU524362:FBD524363 FKQ524362:FKZ524363 FUM524362:FUV524363 GEI524362:GER524363 GOE524362:GON524363 GYA524362:GYJ524363 HHW524362:HIF524363 HRS524362:HSB524363 IBO524362:IBX524363 ILK524362:ILT524363 IVG524362:IVP524363 JFC524362:JFL524363 JOY524362:JPH524363 JYU524362:JZD524363 KIQ524362:KIZ524363 KSM524362:KSV524363 LCI524362:LCR524363 LME524362:LMN524363 LWA524362:LWJ524363 MFW524362:MGF524363 MPS524362:MQB524363 MZO524362:MZX524363 NJK524362:NJT524363 NTG524362:NTP524363 ODC524362:ODL524363 OMY524362:ONH524363 OWU524362:OXD524363 PGQ524362:PGZ524363 PQM524362:PQV524363 QAI524362:QAR524363 QKE524362:QKN524363 QUA524362:QUJ524363 RDW524362:REF524363 RNS524362:ROB524363 RXO524362:RXX524363 SHK524362:SHT524363 SRG524362:SRP524363 TBC524362:TBL524363 TKY524362:TLH524363 TUU524362:TVD524363 UEQ524362:UEZ524363 UOM524362:UOV524363 UYI524362:UYR524363 VIE524362:VIN524363 VSA524362:VSJ524363 WBW524362:WCF524363 WLS524362:WMB524363 WVO524362:WVX524363 G589898:P589899 JC589898:JL589899 SY589898:TH589899 ACU589898:ADD589899 AMQ589898:AMZ589899 AWM589898:AWV589899 BGI589898:BGR589899 BQE589898:BQN589899 CAA589898:CAJ589899 CJW589898:CKF589899 CTS589898:CUB589899 DDO589898:DDX589899 DNK589898:DNT589899 DXG589898:DXP589899 EHC589898:EHL589899 EQY589898:ERH589899 FAU589898:FBD589899 FKQ589898:FKZ589899 FUM589898:FUV589899 GEI589898:GER589899 GOE589898:GON589899 GYA589898:GYJ589899 HHW589898:HIF589899 HRS589898:HSB589899 IBO589898:IBX589899 ILK589898:ILT589899 IVG589898:IVP589899 JFC589898:JFL589899 JOY589898:JPH589899 JYU589898:JZD589899 KIQ589898:KIZ589899 KSM589898:KSV589899 LCI589898:LCR589899 LME589898:LMN589899 LWA589898:LWJ589899 MFW589898:MGF589899 MPS589898:MQB589899 MZO589898:MZX589899 NJK589898:NJT589899 NTG589898:NTP589899 ODC589898:ODL589899 OMY589898:ONH589899 OWU589898:OXD589899 PGQ589898:PGZ589899 PQM589898:PQV589899 QAI589898:QAR589899 QKE589898:QKN589899 QUA589898:QUJ589899 RDW589898:REF589899 RNS589898:ROB589899 RXO589898:RXX589899 SHK589898:SHT589899 SRG589898:SRP589899 TBC589898:TBL589899 TKY589898:TLH589899 TUU589898:TVD589899 UEQ589898:UEZ589899 UOM589898:UOV589899 UYI589898:UYR589899 VIE589898:VIN589899 VSA589898:VSJ589899 WBW589898:WCF589899 WLS589898:WMB589899 WVO589898:WVX589899 G655434:P655435 JC655434:JL655435 SY655434:TH655435 ACU655434:ADD655435 AMQ655434:AMZ655435 AWM655434:AWV655435 BGI655434:BGR655435 BQE655434:BQN655435 CAA655434:CAJ655435 CJW655434:CKF655435 CTS655434:CUB655435 DDO655434:DDX655435 DNK655434:DNT655435 DXG655434:DXP655435 EHC655434:EHL655435 EQY655434:ERH655435 FAU655434:FBD655435 FKQ655434:FKZ655435 FUM655434:FUV655435 GEI655434:GER655435 GOE655434:GON655435 GYA655434:GYJ655435 HHW655434:HIF655435 HRS655434:HSB655435 IBO655434:IBX655435 ILK655434:ILT655435 IVG655434:IVP655435 JFC655434:JFL655435 JOY655434:JPH655435 JYU655434:JZD655435 KIQ655434:KIZ655435 KSM655434:KSV655435 LCI655434:LCR655435 LME655434:LMN655435 LWA655434:LWJ655435 MFW655434:MGF655435 MPS655434:MQB655435 MZO655434:MZX655435 NJK655434:NJT655435 NTG655434:NTP655435 ODC655434:ODL655435 OMY655434:ONH655435 OWU655434:OXD655435 PGQ655434:PGZ655435 PQM655434:PQV655435 QAI655434:QAR655435 QKE655434:QKN655435 QUA655434:QUJ655435 RDW655434:REF655435 RNS655434:ROB655435 RXO655434:RXX655435 SHK655434:SHT655435 SRG655434:SRP655435 TBC655434:TBL655435 TKY655434:TLH655435 TUU655434:TVD655435 UEQ655434:UEZ655435 UOM655434:UOV655435 UYI655434:UYR655435 VIE655434:VIN655435 VSA655434:VSJ655435 WBW655434:WCF655435 WLS655434:WMB655435 WVO655434:WVX655435 G720970:P720971 JC720970:JL720971 SY720970:TH720971 ACU720970:ADD720971 AMQ720970:AMZ720971 AWM720970:AWV720971 BGI720970:BGR720971 BQE720970:BQN720971 CAA720970:CAJ720971 CJW720970:CKF720971 CTS720970:CUB720971 DDO720970:DDX720971 DNK720970:DNT720971 DXG720970:DXP720971 EHC720970:EHL720971 EQY720970:ERH720971 FAU720970:FBD720971 FKQ720970:FKZ720971 FUM720970:FUV720971 GEI720970:GER720971 GOE720970:GON720971 GYA720970:GYJ720971 HHW720970:HIF720971 HRS720970:HSB720971 IBO720970:IBX720971 ILK720970:ILT720971 IVG720970:IVP720971 JFC720970:JFL720971 JOY720970:JPH720971 JYU720970:JZD720971 KIQ720970:KIZ720971 KSM720970:KSV720971 LCI720970:LCR720971 LME720970:LMN720971 LWA720970:LWJ720971 MFW720970:MGF720971 MPS720970:MQB720971 MZO720970:MZX720971 NJK720970:NJT720971 NTG720970:NTP720971 ODC720970:ODL720971 OMY720970:ONH720971 OWU720970:OXD720971 PGQ720970:PGZ720971 PQM720970:PQV720971 QAI720970:QAR720971 QKE720970:QKN720971 QUA720970:QUJ720971 RDW720970:REF720971 RNS720970:ROB720971 RXO720970:RXX720971 SHK720970:SHT720971 SRG720970:SRP720971 TBC720970:TBL720971 TKY720970:TLH720971 TUU720970:TVD720971 UEQ720970:UEZ720971 UOM720970:UOV720971 UYI720970:UYR720971 VIE720970:VIN720971 VSA720970:VSJ720971 WBW720970:WCF720971 WLS720970:WMB720971 WVO720970:WVX720971 G786506:P786507 JC786506:JL786507 SY786506:TH786507 ACU786506:ADD786507 AMQ786506:AMZ786507 AWM786506:AWV786507 BGI786506:BGR786507 BQE786506:BQN786507 CAA786506:CAJ786507 CJW786506:CKF786507 CTS786506:CUB786507 DDO786506:DDX786507 DNK786506:DNT786507 DXG786506:DXP786507 EHC786506:EHL786507 EQY786506:ERH786507 FAU786506:FBD786507 FKQ786506:FKZ786507 FUM786506:FUV786507 GEI786506:GER786507 GOE786506:GON786507 GYA786506:GYJ786507 HHW786506:HIF786507 HRS786506:HSB786507 IBO786506:IBX786507 ILK786506:ILT786507 IVG786506:IVP786507 JFC786506:JFL786507 JOY786506:JPH786507 JYU786506:JZD786507 KIQ786506:KIZ786507 KSM786506:KSV786507 LCI786506:LCR786507 LME786506:LMN786507 LWA786506:LWJ786507 MFW786506:MGF786507 MPS786506:MQB786507 MZO786506:MZX786507 NJK786506:NJT786507 NTG786506:NTP786507 ODC786506:ODL786507 OMY786506:ONH786507 OWU786506:OXD786507 PGQ786506:PGZ786507 PQM786506:PQV786507 QAI786506:QAR786507 QKE786506:QKN786507 QUA786506:QUJ786507 RDW786506:REF786507 RNS786506:ROB786507 RXO786506:RXX786507 SHK786506:SHT786507 SRG786506:SRP786507 TBC786506:TBL786507 TKY786506:TLH786507 TUU786506:TVD786507 UEQ786506:UEZ786507 UOM786506:UOV786507 UYI786506:UYR786507 VIE786506:VIN786507 VSA786506:VSJ786507 WBW786506:WCF786507 WLS786506:WMB786507 WVO786506:WVX786507 G852042:P852043 JC852042:JL852043 SY852042:TH852043 ACU852042:ADD852043 AMQ852042:AMZ852043 AWM852042:AWV852043 BGI852042:BGR852043 BQE852042:BQN852043 CAA852042:CAJ852043 CJW852042:CKF852043 CTS852042:CUB852043 DDO852042:DDX852043 DNK852042:DNT852043 DXG852042:DXP852043 EHC852042:EHL852043 EQY852042:ERH852043 FAU852042:FBD852043 FKQ852042:FKZ852043 FUM852042:FUV852043 GEI852042:GER852043 GOE852042:GON852043 GYA852042:GYJ852043 HHW852042:HIF852043 HRS852042:HSB852043 IBO852042:IBX852043 ILK852042:ILT852043 IVG852042:IVP852043 JFC852042:JFL852043 JOY852042:JPH852043 JYU852042:JZD852043 KIQ852042:KIZ852043 KSM852042:KSV852043 LCI852042:LCR852043 LME852042:LMN852043 LWA852042:LWJ852043 MFW852042:MGF852043 MPS852042:MQB852043 MZO852042:MZX852043 NJK852042:NJT852043 NTG852042:NTP852043 ODC852042:ODL852043 OMY852042:ONH852043 OWU852042:OXD852043 PGQ852042:PGZ852043 PQM852042:PQV852043 QAI852042:QAR852043 QKE852042:QKN852043 QUA852042:QUJ852043 RDW852042:REF852043 RNS852042:ROB852043 RXO852042:RXX852043 SHK852042:SHT852043 SRG852042:SRP852043 TBC852042:TBL852043 TKY852042:TLH852043 TUU852042:TVD852043 UEQ852042:UEZ852043 UOM852042:UOV852043 UYI852042:UYR852043 VIE852042:VIN852043 VSA852042:VSJ852043 WBW852042:WCF852043 WLS852042:WMB852043 WVO852042:WVX852043 G917578:P917579 JC917578:JL917579 SY917578:TH917579 ACU917578:ADD917579 AMQ917578:AMZ917579 AWM917578:AWV917579 BGI917578:BGR917579 BQE917578:BQN917579 CAA917578:CAJ917579 CJW917578:CKF917579 CTS917578:CUB917579 DDO917578:DDX917579 DNK917578:DNT917579 DXG917578:DXP917579 EHC917578:EHL917579 EQY917578:ERH917579 FAU917578:FBD917579 FKQ917578:FKZ917579 FUM917578:FUV917579 GEI917578:GER917579 GOE917578:GON917579 GYA917578:GYJ917579 HHW917578:HIF917579 HRS917578:HSB917579 IBO917578:IBX917579 ILK917578:ILT917579 IVG917578:IVP917579 JFC917578:JFL917579 JOY917578:JPH917579 JYU917578:JZD917579 KIQ917578:KIZ917579 KSM917578:KSV917579 LCI917578:LCR917579 LME917578:LMN917579 LWA917578:LWJ917579 MFW917578:MGF917579 MPS917578:MQB917579 MZO917578:MZX917579 NJK917578:NJT917579 NTG917578:NTP917579 ODC917578:ODL917579 OMY917578:ONH917579 OWU917578:OXD917579 PGQ917578:PGZ917579 PQM917578:PQV917579 QAI917578:QAR917579 QKE917578:QKN917579 QUA917578:QUJ917579 RDW917578:REF917579 RNS917578:ROB917579 RXO917578:RXX917579 SHK917578:SHT917579 SRG917578:SRP917579 TBC917578:TBL917579 TKY917578:TLH917579 TUU917578:TVD917579 UEQ917578:UEZ917579 UOM917578:UOV917579 UYI917578:UYR917579 VIE917578:VIN917579 VSA917578:VSJ917579 WBW917578:WCF917579 WLS917578:WMB917579 WVO917578:WVX917579 G983114:P983115 JC983114:JL983115 SY983114:TH983115 ACU983114:ADD983115 AMQ983114:AMZ983115 AWM983114:AWV983115 BGI983114:BGR983115 BQE983114:BQN983115 CAA983114:CAJ983115 CJW983114:CKF983115 CTS983114:CUB983115 DDO983114:DDX983115 DNK983114:DNT983115 DXG983114:DXP983115 EHC983114:EHL983115 EQY983114:ERH983115 FAU983114:FBD983115 FKQ983114:FKZ983115 FUM983114:FUV983115 GEI983114:GER983115 GOE983114:GON983115 GYA983114:GYJ983115 HHW983114:HIF983115 HRS983114:HSB983115 IBO983114:IBX983115 ILK983114:ILT983115 IVG983114:IVP983115 JFC983114:JFL983115 JOY983114:JPH983115 JYU983114:JZD983115 KIQ983114:KIZ983115 KSM983114:KSV983115 LCI983114:LCR983115 LME983114:LMN983115 LWA983114:LWJ983115 MFW983114:MGF983115 MPS983114:MQB983115 MZO983114:MZX983115 NJK983114:NJT983115 NTG983114:NTP983115 ODC983114:ODL983115 OMY983114:ONH983115 OWU983114:OXD983115 PGQ983114:PGZ983115 PQM983114:PQV983115 QAI983114:QAR983115 QKE983114:QKN983115 QUA983114:QUJ983115 RDW983114:REF983115 RNS983114:ROB983115 RXO983114:RXX983115 SHK983114:SHT983115 SRG983114:SRP983115 TBC983114:TBL983115 TKY983114:TLH983115 TUU983114:TVD983115 UEQ983114:UEZ983115 UOM983114:UOV983115 UYI983114:UYR983115 VIE983114:VIN983115 VSA983114:VSJ983115 WBW983114:WCF983115 WLS983114:WMB983115 WVO983114:WVX983115 G68:P69 JC68:JL69 SY68:TH69 ACU68:ADD69 AMQ68:AMZ69 AWM68:AWV69 BGI68:BGR69 BQE68:BQN69 CAA68:CAJ69 CJW68:CKF69 CTS68:CUB69 DDO68:DDX69 DNK68:DNT69 DXG68:DXP69 EHC68:EHL69 EQY68:ERH69 FAU68:FBD69 FKQ68:FKZ69 FUM68:FUV69 GEI68:GER69 GOE68:GON69 GYA68:GYJ69 HHW68:HIF69 HRS68:HSB69 IBO68:IBX69 ILK68:ILT69 IVG68:IVP69 JFC68:JFL69 JOY68:JPH69 JYU68:JZD69 KIQ68:KIZ69 KSM68:KSV69 LCI68:LCR69 LME68:LMN69 LWA68:LWJ69 MFW68:MGF69 MPS68:MQB69 MZO68:MZX69 NJK68:NJT69 NTG68:NTP69 ODC68:ODL69 OMY68:ONH69 OWU68:OXD69 PGQ68:PGZ69 PQM68:PQV69 QAI68:QAR69 QKE68:QKN69 QUA68:QUJ69 RDW68:REF69 RNS68:ROB69 RXO68:RXX69 SHK68:SHT69 SRG68:SRP69 TBC68:TBL69 TKY68:TLH69 TUU68:TVD69 UEQ68:UEZ69 UOM68:UOV69 UYI68:UYR69 VIE68:VIN69 VSA68:VSJ69 WBW68:WCF69 WLS68:WMB69 WVO68:WVX69 G65604:P65605 JC65604:JL65605 SY65604:TH65605 ACU65604:ADD65605 AMQ65604:AMZ65605 AWM65604:AWV65605 BGI65604:BGR65605 BQE65604:BQN65605 CAA65604:CAJ65605 CJW65604:CKF65605 CTS65604:CUB65605 DDO65604:DDX65605 DNK65604:DNT65605 DXG65604:DXP65605 EHC65604:EHL65605 EQY65604:ERH65605 FAU65604:FBD65605 FKQ65604:FKZ65605 FUM65604:FUV65605 GEI65604:GER65605 GOE65604:GON65605 GYA65604:GYJ65605 HHW65604:HIF65605 HRS65604:HSB65605 IBO65604:IBX65605 ILK65604:ILT65605 IVG65604:IVP65605 JFC65604:JFL65605 JOY65604:JPH65605 JYU65604:JZD65605 KIQ65604:KIZ65605 KSM65604:KSV65605 LCI65604:LCR65605 LME65604:LMN65605 LWA65604:LWJ65605 MFW65604:MGF65605 MPS65604:MQB65605 MZO65604:MZX65605 NJK65604:NJT65605 NTG65604:NTP65605 ODC65604:ODL65605 OMY65604:ONH65605 OWU65604:OXD65605 PGQ65604:PGZ65605 PQM65604:PQV65605 QAI65604:QAR65605 QKE65604:QKN65605 QUA65604:QUJ65605 RDW65604:REF65605 RNS65604:ROB65605 RXO65604:RXX65605 SHK65604:SHT65605 SRG65604:SRP65605 TBC65604:TBL65605 TKY65604:TLH65605 TUU65604:TVD65605 UEQ65604:UEZ65605 UOM65604:UOV65605 UYI65604:UYR65605 VIE65604:VIN65605 VSA65604:VSJ65605 WBW65604:WCF65605 WLS65604:WMB65605 WVO65604:WVX65605 G131140:P131141 JC131140:JL131141 SY131140:TH131141 ACU131140:ADD131141 AMQ131140:AMZ131141 AWM131140:AWV131141 BGI131140:BGR131141 BQE131140:BQN131141 CAA131140:CAJ131141 CJW131140:CKF131141 CTS131140:CUB131141 DDO131140:DDX131141 DNK131140:DNT131141 DXG131140:DXP131141 EHC131140:EHL131141 EQY131140:ERH131141 FAU131140:FBD131141 FKQ131140:FKZ131141 FUM131140:FUV131141 GEI131140:GER131141 GOE131140:GON131141 GYA131140:GYJ131141 HHW131140:HIF131141 HRS131140:HSB131141 IBO131140:IBX131141 ILK131140:ILT131141 IVG131140:IVP131141 JFC131140:JFL131141 JOY131140:JPH131141 JYU131140:JZD131141 KIQ131140:KIZ131141 KSM131140:KSV131141 LCI131140:LCR131141 LME131140:LMN131141 LWA131140:LWJ131141 MFW131140:MGF131141 MPS131140:MQB131141 MZO131140:MZX131141 NJK131140:NJT131141 NTG131140:NTP131141 ODC131140:ODL131141 OMY131140:ONH131141 OWU131140:OXD131141 PGQ131140:PGZ131141 PQM131140:PQV131141 QAI131140:QAR131141 QKE131140:QKN131141 QUA131140:QUJ131141 RDW131140:REF131141 RNS131140:ROB131141 RXO131140:RXX131141 SHK131140:SHT131141 SRG131140:SRP131141 TBC131140:TBL131141 TKY131140:TLH131141 TUU131140:TVD131141 UEQ131140:UEZ131141 UOM131140:UOV131141 UYI131140:UYR131141 VIE131140:VIN131141 VSA131140:VSJ131141 WBW131140:WCF131141 WLS131140:WMB131141 WVO131140:WVX131141 G196676:P196677 JC196676:JL196677 SY196676:TH196677 ACU196676:ADD196677 AMQ196676:AMZ196677 AWM196676:AWV196677 BGI196676:BGR196677 BQE196676:BQN196677 CAA196676:CAJ196677 CJW196676:CKF196677 CTS196676:CUB196677 DDO196676:DDX196677 DNK196676:DNT196677 DXG196676:DXP196677 EHC196676:EHL196677 EQY196676:ERH196677 FAU196676:FBD196677 FKQ196676:FKZ196677 FUM196676:FUV196677 GEI196676:GER196677 GOE196676:GON196677 GYA196676:GYJ196677 HHW196676:HIF196677 HRS196676:HSB196677 IBO196676:IBX196677 ILK196676:ILT196677 IVG196676:IVP196677 JFC196676:JFL196677 JOY196676:JPH196677 JYU196676:JZD196677 KIQ196676:KIZ196677 KSM196676:KSV196677 LCI196676:LCR196677 LME196676:LMN196677 LWA196676:LWJ196677 MFW196676:MGF196677 MPS196676:MQB196677 MZO196676:MZX196677 NJK196676:NJT196677 NTG196676:NTP196677 ODC196676:ODL196677 OMY196676:ONH196677 OWU196676:OXD196677 PGQ196676:PGZ196677 PQM196676:PQV196677 QAI196676:QAR196677 QKE196676:QKN196677 QUA196676:QUJ196677 RDW196676:REF196677 RNS196676:ROB196677 RXO196676:RXX196677 SHK196676:SHT196677 SRG196676:SRP196677 TBC196676:TBL196677 TKY196676:TLH196677 TUU196676:TVD196677 UEQ196676:UEZ196677 UOM196676:UOV196677 UYI196676:UYR196677 VIE196676:VIN196677 VSA196676:VSJ196677 WBW196676:WCF196677 WLS196676:WMB196677 WVO196676:WVX196677 G262212:P262213 JC262212:JL262213 SY262212:TH262213 ACU262212:ADD262213 AMQ262212:AMZ262213 AWM262212:AWV262213 BGI262212:BGR262213 BQE262212:BQN262213 CAA262212:CAJ262213 CJW262212:CKF262213 CTS262212:CUB262213 DDO262212:DDX262213 DNK262212:DNT262213 DXG262212:DXP262213 EHC262212:EHL262213 EQY262212:ERH262213 FAU262212:FBD262213 FKQ262212:FKZ262213 FUM262212:FUV262213 GEI262212:GER262213 GOE262212:GON262213 GYA262212:GYJ262213 HHW262212:HIF262213 HRS262212:HSB262213 IBO262212:IBX262213 ILK262212:ILT262213 IVG262212:IVP262213 JFC262212:JFL262213 JOY262212:JPH262213 JYU262212:JZD262213 KIQ262212:KIZ262213 KSM262212:KSV262213 LCI262212:LCR262213 LME262212:LMN262213 LWA262212:LWJ262213 MFW262212:MGF262213 MPS262212:MQB262213 MZO262212:MZX262213 NJK262212:NJT262213 NTG262212:NTP262213 ODC262212:ODL262213 OMY262212:ONH262213 OWU262212:OXD262213 PGQ262212:PGZ262213 PQM262212:PQV262213 QAI262212:QAR262213 QKE262212:QKN262213 QUA262212:QUJ262213 RDW262212:REF262213 RNS262212:ROB262213 RXO262212:RXX262213 SHK262212:SHT262213 SRG262212:SRP262213 TBC262212:TBL262213 TKY262212:TLH262213 TUU262212:TVD262213 UEQ262212:UEZ262213 UOM262212:UOV262213 UYI262212:UYR262213 VIE262212:VIN262213 VSA262212:VSJ262213 WBW262212:WCF262213 WLS262212:WMB262213 WVO262212:WVX262213 G327748:P327749 JC327748:JL327749 SY327748:TH327749 ACU327748:ADD327749 AMQ327748:AMZ327749 AWM327748:AWV327749 BGI327748:BGR327749 BQE327748:BQN327749 CAA327748:CAJ327749 CJW327748:CKF327749 CTS327748:CUB327749 DDO327748:DDX327749 DNK327748:DNT327749 DXG327748:DXP327749 EHC327748:EHL327749 EQY327748:ERH327749 FAU327748:FBD327749 FKQ327748:FKZ327749 FUM327748:FUV327749 GEI327748:GER327749 GOE327748:GON327749 GYA327748:GYJ327749 HHW327748:HIF327749 HRS327748:HSB327749 IBO327748:IBX327749 ILK327748:ILT327749 IVG327748:IVP327749 JFC327748:JFL327749 JOY327748:JPH327749 JYU327748:JZD327749 KIQ327748:KIZ327749 KSM327748:KSV327749 LCI327748:LCR327749 LME327748:LMN327749 LWA327748:LWJ327749 MFW327748:MGF327749 MPS327748:MQB327749 MZO327748:MZX327749 NJK327748:NJT327749 NTG327748:NTP327749 ODC327748:ODL327749 OMY327748:ONH327749 OWU327748:OXD327749 PGQ327748:PGZ327749 PQM327748:PQV327749 QAI327748:QAR327749 QKE327748:QKN327749 QUA327748:QUJ327749 RDW327748:REF327749 RNS327748:ROB327749 RXO327748:RXX327749 SHK327748:SHT327749 SRG327748:SRP327749 TBC327748:TBL327749 TKY327748:TLH327749 TUU327748:TVD327749 UEQ327748:UEZ327749 UOM327748:UOV327749 UYI327748:UYR327749 VIE327748:VIN327749 VSA327748:VSJ327749 WBW327748:WCF327749 WLS327748:WMB327749 WVO327748:WVX327749 G393284:P393285 JC393284:JL393285 SY393284:TH393285 ACU393284:ADD393285 AMQ393284:AMZ393285 AWM393284:AWV393285 BGI393284:BGR393285 BQE393284:BQN393285 CAA393284:CAJ393285 CJW393284:CKF393285 CTS393284:CUB393285 DDO393284:DDX393285 DNK393284:DNT393285 DXG393284:DXP393285 EHC393284:EHL393285 EQY393284:ERH393285 FAU393284:FBD393285 FKQ393284:FKZ393285 FUM393284:FUV393285 GEI393284:GER393285 GOE393284:GON393285 GYA393284:GYJ393285 HHW393284:HIF393285 HRS393284:HSB393285 IBO393284:IBX393285 ILK393284:ILT393285 IVG393284:IVP393285 JFC393284:JFL393285 JOY393284:JPH393285 JYU393284:JZD393285 KIQ393284:KIZ393285 KSM393284:KSV393285 LCI393284:LCR393285 LME393284:LMN393285 LWA393284:LWJ393285 MFW393284:MGF393285 MPS393284:MQB393285 MZO393284:MZX393285 NJK393284:NJT393285 NTG393284:NTP393285 ODC393284:ODL393285 OMY393284:ONH393285 OWU393284:OXD393285 PGQ393284:PGZ393285 PQM393284:PQV393285 QAI393284:QAR393285 QKE393284:QKN393285 QUA393284:QUJ393285 RDW393284:REF393285 RNS393284:ROB393285 RXO393284:RXX393285 SHK393284:SHT393285 SRG393284:SRP393285 TBC393284:TBL393285 TKY393284:TLH393285 TUU393284:TVD393285 UEQ393284:UEZ393285 UOM393284:UOV393285 UYI393284:UYR393285 VIE393284:VIN393285 VSA393284:VSJ393285 WBW393284:WCF393285 WLS393284:WMB393285 WVO393284:WVX393285 G458820:P458821 JC458820:JL458821 SY458820:TH458821 ACU458820:ADD458821 AMQ458820:AMZ458821 AWM458820:AWV458821 BGI458820:BGR458821 BQE458820:BQN458821 CAA458820:CAJ458821 CJW458820:CKF458821 CTS458820:CUB458821 DDO458820:DDX458821 DNK458820:DNT458821 DXG458820:DXP458821 EHC458820:EHL458821 EQY458820:ERH458821 FAU458820:FBD458821 FKQ458820:FKZ458821 FUM458820:FUV458821 GEI458820:GER458821 GOE458820:GON458821 GYA458820:GYJ458821 HHW458820:HIF458821 HRS458820:HSB458821 IBO458820:IBX458821 ILK458820:ILT458821 IVG458820:IVP458821 JFC458820:JFL458821 JOY458820:JPH458821 JYU458820:JZD458821 KIQ458820:KIZ458821 KSM458820:KSV458821 LCI458820:LCR458821 LME458820:LMN458821 LWA458820:LWJ458821 MFW458820:MGF458821 MPS458820:MQB458821 MZO458820:MZX458821 NJK458820:NJT458821 NTG458820:NTP458821 ODC458820:ODL458821 OMY458820:ONH458821 OWU458820:OXD458821 PGQ458820:PGZ458821 PQM458820:PQV458821 QAI458820:QAR458821 QKE458820:QKN458821 QUA458820:QUJ458821 RDW458820:REF458821 RNS458820:ROB458821 RXO458820:RXX458821 SHK458820:SHT458821 SRG458820:SRP458821 TBC458820:TBL458821 TKY458820:TLH458821 TUU458820:TVD458821 UEQ458820:UEZ458821 UOM458820:UOV458821 UYI458820:UYR458821 VIE458820:VIN458821 VSA458820:VSJ458821 WBW458820:WCF458821 WLS458820:WMB458821 WVO458820:WVX458821 G524356:P524357 JC524356:JL524357 SY524356:TH524357 ACU524356:ADD524357 AMQ524356:AMZ524357 AWM524356:AWV524357 BGI524356:BGR524357 BQE524356:BQN524357 CAA524356:CAJ524357 CJW524356:CKF524357 CTS524356:CUB524357 DDO524356:DDX524357 DNK524356:DNT524357 DXG524356:DXP524357 EHC524356:EHL524357 EQY524356:ERH524357 FAU524356:FBD524357 FKQ524356:FKZ524357 FUM524356:FUV524357 GEI524356:GER524357 GOE524356:GON524357 GYA524356:GYJ524357 HHW524356:HIF524357 HRS524356:HSB524357 IBO524356:IBX524357 ILK524356:ILT524357 IVG524356:IVP524357 JFC524356:JFL524357 JOY524356:JPH524357 JYU524356:JZD524357 KIQ524356:KIZ524357 KSM524356:KSV524357 LCI524356:LCR524357 LME524356:LMN524357 LWA524356:LWJ524357 MFW524356:MGF524357 MPS524356:MQB524357 MZO524356:MZX524357 NJK524356:NJT524357 NTG524356:NTP524357 ODC524356:ODL524357 OMY524356:ONH524357 OWU524356:OXD524357 PGQ524356:PGZ524357 PQM524356:PQV524357 QAI524356:QAR524357 QKE524356:QKN524357 QUA524356:QUJ524357 RDW524356:REF524357 RNS524356:ROB524357 RXO524356:RXX524357 SHK524356:SHT524357 SRG524356:SRP524357 TBC524356:TBL524357 TKY524356:TLH524357 TUU524356:TVD524357 UEQ524356:UEZ524357 UOM524356:UOV524357 UYI524356:UYR524357 VIE524356:VIN524357 VSA524356:VSJ524357 WBW524356:WCF524357 WLS524356:WMB524357 WVO524356:WVX524357 G589892:P589893 JC589892:JL589893 SY589892:TH589893 ACU589892:ADD589893 AMQ589892:AMZ589893 AWM589892:AWV589893 BGI589892:BGR589893 BQE589892:BQN589893 CAA589892:CAJ589893 CJW589892:CKF589893 CTS589892:CUB589893 DDO589892:DDX589893 DNK589892:DNT589893 DXG589892:DXP589893 EHC589892:EHL589893 EQY589892:ERH589893 FAU589892:FBD589893 FKQ589892:FKZ589893 FUM589892:FUV589893 GEI589892:GER589893 GOE589892:GON589893 GYA589892:GYJ589893 HHW589892:HIF589893 HRS589892:HSB589893 IBO589892:IBX589893 ILK589892:ILT589893 IVG589892:IVP589893 JFC589892:JFL589893 JOY589892:JPH589893 JYU589892:JZD589893 KIQ589892:KIZ589893 KSM589892:KSV589893 LCI589892:LCR589893 LME589892:LMN589893 LWA589892:LWJ589893 MFW589892:MGF589893 MPS589892:MQB589893 MZO589892:MZX589893 NJK589892:NJT589893 NTG589892:NTP589893 ODC589892:ODL589893 OMY589892:ONH589893 OWU589892:OXD589893 PGQ589892:PGZ589893 PQM589892:PQV589893 QAI589892:QAR589893 QKE589892:QKN589893 QUA589892:QUJ589893 RDW589892:REF589893 RNS589892:ROB589893 RXO589892:RXX589893 SHK589892:SHT589893 SRG589892:SRP589893 TBC589892:TBL589893 TKY589892:TLH589893 TUU589892:TVD589893 UEQ589892:UEZ589893 UOM589892:UOV589893 UYI589892:UYR589893 VIE589892:VIN589893 VSA589892:VSJ589893 WBW589892:WCF589893 WLS589892:WMB589893 WVO589892:WVX589893 G655428:P655429 JC655428:JL655429 SY655428:TH655429 ACU655428:ADD655429 AMQ655428:AMZ655429 AWM655428:AWV655429 BGI655428:BGR655429 BQE655428:BQN655429 CAA655428:CAJ655429 CJW655428:CKF655429 CTS655428:CUB655429 DDO655428:DDX655429 DNK655428:DNT655429 DXG655428:DXP655429 EHC655428:EHL655429 EQY655428:ERH655429 FAU655428:FBD655429 FKQ655428:FKZ655429 FUM655428:FUV655429 GEI655428:GER655429 GOE655428:GON655429 GYA655428:GYJ655429 HHW655428:HIF655429 HRS655428:HSB655429 IBO655428:IBX655429 ILK655428:ILT655429 IVG655428:IVP655429 JFC655428:JFL655429 JOY655428:JPH655429 JYU655428:JZD655429 KIQ655428:KIZ655429 KSM655428:KSV655429 LCI655428:LCR655429 LME655428:LMN655429 LWA655428:LWJ655429 MFW655428:MGF655429 MPS655428:MQB655429 MZO655428:MZX655429 NJK655428:NJT655429 NTG655428:NTP655429 ODC655428:ODL655429 OMY655428:ONH655429 OWU655428:OXD655429 PGQ655428:PGZ655429 PQM655428:PQV655429 QAI655428:QAR655429 QKE655428:QKN655429 QUA655428:QUJ655429 RDW655428:REF655429 RNS655428:ROB655429 RXO655428:RXX655429 SHK655428:SHT655429 SRG655428:SRP655429 TBC655428:TBL655429 TKY655428:TLH655429 TUU655428:TVD655429 UEQ655428:UEZ655429 UOM655428:UOV655429 UYI655428:UYR655429 VIE655428:VIN655429 VSA655428:VSJ655429 WBW655428:WCF655429 WLS655428:WMB655429 WVO655428:WVX655429 G720964:P720965 JC720964:JL720965 SY720964:TH720965 ACU720964:ADD720965 AMQ720964:AMZ720965 AWM720964:AWV720965 BGI720964:BGR720965 BQE720964:BQN720965 CAA720964:CAJ720965 CJW720964:CKF720965 CTS720964:CUB720965 DDO720964:DDX720965 DNK720964:DNT720965 DXG720964:DXP720965 EHC720964:EHL720965 EQY720964:ERH720965 FAU720964:FBD720965 FKQ720964:FKZ720965 FUM720964:FUV720965 GEI720964:GER720965 GOE720964:GON720965 GYA720964:GYJ720965 HHW720964:HIF720965 HRS720964:HSB720965 IBO720964:IBX720965 ILK720964:ILT720965 IVG720964:IVP720965 JFC720964:JFL720965 JOY720964:JPH720965 JYU720964:JZD720965 KIQ720964:KIZ720965 KSM720964:KSV720965 LCI720964:LCR720965 LME720964:LMN720965 LWA720964:LWJ720965 MFW720964:MGF720965 MPS720964:MQB720965 MZO720964:MZX720965 NJK720964:NJT720965 NTG720964:NTP720965 ODC720964:ODL720965 OMY720964:ONH720965 OWU720964:OXD720965 PGQ720964:PGZ720965 PQM720964:PQV720965 QAI720964:QAR720965 QKE720964:QKN720965 QUA720964:QUJ720965 RDW720964:REF720965 RNS720964:ROB720965 RXO720964:RXX720965 SHK720964:SHT720965 SRG720964:SRP720965 TBC720964:TBL720965 TKY720964:TLH720965 TUU720964:TVD720965 UEQ720964:UEZ720965 UOM720964:UOV720965 UYI720964:UYR720965 VIE720964:VIN720965 VSA720964:VSJ720965 WBW720964:WCF720965 WLS720964:WMB720965 WVO720964:WVX720965 G786500:P786501 JC786500:JL786501 SY786500:TH786501 ACU786500:ADD786501 AMQ786500:AMZ786501 AWM786500:AWV786501 BGI786500:BGR786501 BQE786500:BQN786501 CAA786500:CAJ786501 CJW786500:CKF786501 CTS786500:CUB786501 DDO786500:DDX786501 DNK786500:DNT786501 DXG786500:DXP786501 EHC786500:EHL786501 EQY786500:ERH786501 FAU786500:FBD786501 FKQ786500:FKZ786501 FUM786500:FUV786501 GEI786500:GER786501 GOE786500:GON786501 GYA786500:GYJ786501 HHW786500:HIF786501 HRS786500:HSB786501 IBO786500:IBX786501 ILK786500:ILT786501 IVG786500:IVP786501 JFC786500:JFL786501 JOY786500:JPH786501 JYU786500:JZD786501 KIQ786500:KIZ786501 KSM786500:KSV786501 LCI786500:LCR786501 LME786500:LMN786501 LWA786500:LWJ786501 MFW786500:MGF786501 MPS786500:MQB786501 MZO786500:MZX786501 NJK786500:NJT786501 NTG786500:NTP786501 ODC786500:ODL786501 OMY786500:ONH786501 OWU786500:OXD786501 PGQ786500:PGZ786501 PQM786500:PQV786501 QAI786500:QAR786501 QKE786500:QKN786501 QUA786500:QUJ786501 RDW786500:REF786501 RNS786500:ROB786501 RXO786500:RXX786501 SHK786500:SHT786501 SRG786500:SRP786501 TBC786500:TBL786501 TKY786500:TLH786501 TUU786500:TVD786501 UEQ786500:UEZ786501 UOM786500:UOV786501 UYI786500:UYR786501 VIE786500:VIN786501 VSA786500:VSJ786501 WBW786500:WCF786501 WLS786500:WMB786501 WVO786500:WVX786501 G852036:P852037 JC852036:JL852037 SY852036:TH852037 ACU852036:ADD852037 AMQ852036:AMZ852037 AWM852036:AWV852037 BGI852036:BGR852037 BQE852036:BQN852037 CAA852036:CAJ852037 CJW852036:CKF852037 CTS852036:CUB852037 DDO852036:DDX852037 DNK852036:DNT852037 DXG852036:DXP852037 EHC852036:EHL852037 EQY852036:ERH852037 FAU852036:FBD852037 FKQ852036:FKZ852037 FUM852036:FUV852037 GEI852036:GER852037 GOE852036:GON852037 GYA852036:GYJ852037 HHW852036:HIF852037 HRS852036:HSB852037 IBO852036:IBX852037 ILK852036:ILT852037 IVG852036:IVP852037 JFC852036:JFL852037 JOY852036:JPH852037 JYU852036:JZD852037 KIQ852036:KIZ852037 KSM852036:KSV852037 LCI852036:LCR852037 LME852036:LMN852037 LWA852036:LWJ852037 MFW852036:MGF852037 MPS852036:MQB852037 MZO852036:MZX852037 NJK852036:NJT852037 NTG852036:NTP852037 ODC852036:ODL852037 OMY852036:ONH852037 OWU852036:OXD852037 PGQ852036:PGZ852037 PQM852036:PQV852037 QAI852036:QAR852037 QKE852036:QKN852037 QUA852036:QUJ852037 RDW852036:REF852037 RNS852036:ROB852037 RXO852036:RXX852037 SHK852036:SHT852037 SRG852036:SRP852037 TBC852036:TBL852037 TKY852036:TLH852037 TUU852036:TVD852037 UEQ852036:UEZ852037 UOM852036:UOV852037 UYI852036:UYR852037 VIE852036:VIN852037 VSA852036:VSJ852037 WBW852036:WCF852037 WLS852036:WMB852037 WVO852036:WVX852037 G917572:P917573 JC917572:JL917573 SY917572:TH917573 ACU917572:ADD917573 AMQ917572:AMZ917573 AWM917572:AWV917573 BGI917572:BGR917573 BQE917572:BQN917573 CAA917572:CAJ917573 CJW917572:CKF917573 CTS917572:CUB917573 DDO917572:DDX917573 DNK917572:DNT917573 DXG917572:DXP917573 EHC917572:EHL917573 EQY917572:ERH917573 FAU917572:FBD917573 FKQ917572:FKZ917573 FUM917572:FUV917573 GEI917572:GER917573 GOE917572:GON917573 GYA917572:GYJ917573 HHW917572:HIF917573 HRS917572:HSB917573 IBO917572:IBX917573 ILK917572:ILT917573 IVG917572:IVP917573 JFC917572:JFL917573 JOY917572:JPH917573 JYU917572:JZD917573 KIQ917572:KIZ917573 KSM917572:KSV917573 LCI917572:LCR917573 LME917572:LMN917573 LWA917572:LWJ917573 MFW917572:MGF917573 MPS917572:MQB917573 MZO917572:MZX917573 NJK917572:NJT917573 NTG917572:NTP917573 ODC917572:ODL917573 OMY917572:ONH917573 OWU917572:OXD917573 PGQ917572:PGZ917573 PQM917572:PQV917573 QAI917572:QAR917573 QKE917572:QKN917573 QUA917572:QUJ917573 RDW917572:REF917573 RNS917572:ROB917573 RXO917572:RXX917573 SHK917572:SHT917573 SRG917572:SRP917573 TBC917572:TBL917573 TKY917572:TLH917573 TUU917572:TVD917573 UEQ917572:UEZ917573 UOM917572:UOV917573 UYI917572:UYR917573 VIE917572:VIN917573 VSA917572:VSJ917573 WBW917572:WCF917573 WLS917572:WMB917573 WVO917572:WVX917573 G983108:P983109 JC983108:JL983109 SY983108:TH983109 ACU983108:ADD983109 AMQ983108:AMZ983109 AWM983108:AWV983109 BGI983108:BGR983109 BQE983108:BQN983109 CAA983108:CAJ983109 CJW983108:CKF983109 CTS983108:CUB983109 DDO983108:DDX983109 DNK983108:DNT983109 DXG983108:DXP983109 EHC983108:EHL983109 EQY983108:ERH983109 FAU983108:FBD983109 FKQ983108:FKZ983109 FUM983108:FUV983109 GEI983108:GER983109 GOE983108:GON983109 GYA983108:GYJ983109 HHW983108:HIF983109 HRS983108:HSB983109 IBO983108:IBX983109 ILK983108:ILT983109 IVG983108:IVP983109 JFC983108:JFL983109 JOY983108:JPH983109 JYU983108:JZD983109 KIQ983108:KIZ983109 KSM983108:KSV983109 LCI983108:LCR983109 LME983108:LMN983109 LWA983108:LWJ983109 MFW983108:MGF983109 MPS983108:MQB983109 MZO983108:MZX983109 NJK983108:NJT983109 NTG983108:NTP983109 ODC983108:ODL983109 OMY983108:ONH983109 OWU983108:OXD983109 PGQ983108:PGZ983109 PQM983108:PQV983109 QAI983108:QAR983109 QKE983108:QKN983109 QUA983108:QUJ983109 RDW983108:REF983109 RNS983108:ROB983109 RXO983108:RXX983109 SHK983108:SHT983109 SRG983108:SRP983109 TBC983108:TBL983109 TKY983108:TLH983109 TUU983108:TVD983109 UEQ983108:UEZ983109 UOM983108:UOV983109 UYI983108:UYR983109 VIE983108:VIN983109 VSA983108:VSJ983109 WBW983108:WCF983109 WLS983108:WMB983109 WVO983108:WVX983109 G58:P58 JC58:JL58 SY58:TH58 ACU58:ADD58 AMQ58:AMZ58 AWM58:AWV58 BGI58:BGR58 BQE58:BQN58 CAA58:CAJ58 CJW58:CKF58 CTS58:CUB58 DDO58:DDX58 DNK58:DNT58 DXG58:DXP58 EHC58:EHL58 EQY58:ERH58 FAU58:FBD58 FKQ58:FKZ58 FUM58:FUV58 GEI58:GER58 GOE58:GON58 GYA58:GYJ58 HHW58:HIF58 HRS58:HSB58 IBO58:IBX58 ILK58:ILT58 IVG58:IVP58 JFC58:JFL58 JOY58:JPH58 JYU58:JZD58 KIQ58:KIZ58 KSM58:KSV58 LCI58:LCR58 LME58:LMN58 LWA58:LWJ58 MFW58:MGF58 MPS58:MQB58 MZO58:MZX58 NJK58:NJT58 NTG58:NTP58 ODC58:ODL58 OMY58:ONH58 OWU58:OXD58 PGQ58:PGZ58 PQM58:PQV58 QAI58:QAR58 QKE58:QKN58 QUA58:QUJ58 RDW58:REF58 RNS58:ROB58 RXO58:RXX58 SHK58:SHT58 SRG58:SRP58 TBC58:TBL58 TKY58:TLH58 TUU58:TVD58 UEQ58:UEZ58 UOM58:UOV58 UYI58:UYR58 VIE58:VIN58 VSA58:VSJ58 WBW58:WCF58 WLS58:WMB58 WVO58:WVX58 G65594:P65594 JC65594:JL65594 SY65594:TH65594 ACU65594:ADD65594 AMQ65594:AMZ65594 AWM65594:AWV65594 BGI65594:BGR65594 BQE65594:BQN65594 CAA65594:CAJ65594 CJW65594:CKF65594 CTS65594:CUB65594 DDO65594:DDX65594 DNK65594:DNT65594 DXG65594:DXP65594 EHC65594:EHL65594 EQY65594:ERH65594 FAU65594:FBD65594 FKQ65594:FKZ65594 FUM65594:FUV65594 GEI65594:GER65594 GOE65594:GON65594 GYA65594:GYJ65594 HHW65594:HIF65594 HRS65594:HSB65594 IBO65594:IBX65594 ILK65594:ILT65594 IVG65594:IVP65594 JFC65594:JFL65594 JOY65594:JPH65594 JYU65594:JZD65594 KIQ65594:KIZ65594 KSM65594:KSV65594 LCI65594:LCR65594 LME65594:LMN65594 LWA65594:LWJ65594 MFW65594:MGF65594 MPS65594:MQB65594 MZO65594:MZX65594 NJK65594:NJT65594 NTG65594:NTP65594 ODC65594:ODL65594 OMY65594:ONH65594 OWU65594:OXD65594 PGQ65594:PGZ65594 PQM65594:PQV65594 QAI65594:QAR65594 QKE65594:QKN65594 QUA65594:QUJ65594 RDW65594:REF65594 RNS65594:ROB65594 RXO65594:RXX65594 SHK65594:SHT65594 SRG65594:SRP65594 TBC65594:TBL65594 TKY65594:TLH65594 TUU65594:TVD65594 UEQ65594:UEZ65594 UOM65594:UOV65594 UYI65594:UYR65594 VIE65594:VIN65594 VSA65594:VSJ65594 WBW65594:WCF65594 WLS65594:WMB65594 WVO65594:WVX65594 G131130:P131130 JC131130:JL131130 SY131130:TH131130 ACU131130:ADD131130 AMQ131130:AMZ131130 AWM131130:AWV131130 BGI131130:BGR131130 BQE131130:BQN131130 CAA131130:CAJ131130 CJW131130:CKF131130 CTS131130:CUB131130 DDO131130:DDX131130 DNK131130:DNT131130 DXG131130:DXP131130 EHC131130:EHL131130 EQY131130:ERH131130 FAU131130:FBD131130 FKQ131130:FKZ131130 FUM131130:FUV131130 GEI131130:GER131130 GOE131130:GON131130 GYA131130:GYJ131130 HHW131130:HIF131130 HRS131130:HSB131130 IBO131130:IBX131130 ILK131130:ILT131130 IVG131130:IVP131130 JFC131130:JFL131130 JOY131130:JPH131130 JYU131130:JZD131130 KIQ131130:KIZ131130 KSM131130:KSV131130 LCI131130:LCR131130 LME131130:LMN131130 LWA131130:LWJ131130 MFW131130:MGF131130 MPS131130:MQB131130 MZO131130:MZX131130 NJK131130:NJT131130 NTG131130:NTP131130 ODC131130:ODL131130 OMY131130:ONH131130 OWU131130:OXD131130 PGQ131130:PGZ131130 PQM131130:PQV131130 QAI131130:QAR131130 QKE131130:QKN131130 QUA131130:QUJ131130 RDW131130:REF131130 RNS131130:ROB131130 RXO131130:RXX131130 SHK131130:SHT131130 SRG131130:SRP131130 TBC131130:TBL131130 TKY131130:TLH131130 TUU131130:TVD131130 UEQ131130:UEZ131130 UOM131130:UOV131130 UYI131130:UYR131130 VIE131130:VIN131130 VSA131130:VSJ131130 WBW131130:WCF131130 WLS131130:WMB131130 WVO131130:WVX131130 G196666:P196666 JC196666:JL196666 SY196666:TH196666 ACU196666:ADD196666 AMQ196666:AMZ196666 AWM196666:AWV196666 BGI196666:BGR196666 BQE196666:BQN196666 CAA196666:CAJ196666 CJW196666:CKF196666 CTS196666:CUB196666 DDO196666:DDX196666 DNK196666:DNT196666 DXG196666:DXP196666 EHC196666:EHL196666 EQY196666:ERH196666 FAU196666:FBD196666 FKQ196666:FKZ196666 FUM196666:FUV196666 GEI196666:GER196666 GOE196666:GON196666 GYA196666:GYJ196666 HHW196666:HIF196666 HRS196666:HSB196666 IBO196666:IBX196666 ILK196666:ILT196666 IVG196666:IVP196666 JFC196666:JFL196666 JOY196666:JPH196666 JYU196666:JZD196666 KIQ196666:KIZ196666 KSM196666:KSV196666 LCI196666:LCR196666 LME196666:LMN196666 LWA196666:LWJ196666 MFW196666:MGF196666 MPS196666:MQB196666 MZO196666:MZX196666 NJK196666:NJT196666 NTG196666:NTP196666 ODC196666:ODL196666 OMY196666:ONH196666 OWU196666:OXD196666 PGQ196666:PGZ196666 PQM196666:PQV196666 QAI196666:QAR196666 QKE196666:QKN196666 QUA196666:QUJ196666 RDW196666:REF196666 RNS196666:ROB196666 RXO196666:RXX196666 SHK196666:SHT196666 SRG196666:SRP196666 TBC196666:TBL196666 TKY196666:TLH196666 TUU196666:TVD196666 UEQ196666:UEZ196666 UOM196666:UOV196666 UYI196666:UYR196666 VIE196666:VIN196666 VSA196666:VSJ196666 WBW196666:WCF196666 WLS196666:WMB196666 WVO196666:WVX196666 G262202:P262202 JC262202:JL262202 SY262202:TH262202 ACU262202:ADD262202 AMQ262202:AMZ262202 AWM262202:AWV262202 BGI262202:BGR262202 BQE262202:BQN262202 CAA262202:CAJ262202 CJW262202:CKF262202 CTS262202:CUB262202 DDO262202:DDX262202 DNK262202:DNT262202 DXG262202:DXP262202 EHC262202:EHL262202 EQY262202:ERH262202 FAU262202:FBD262202 FKQ262202:FKZ262202 FUM262202:FUV262202 GEI262202:GER262202 GOE262202:GON262202 GYA262202:GYJ262202 HHW262202:HIF262202 HRS262202:HSB262202 IBO262202:IBX262202 ILK262202:ILT262202 IVG262202:IVP262202 JFC262202:JFL262202 JOY262202:JPH262202 JYU262202:JZD262202 KIQ262202:KIZ262202 KSM262202:KSV262202 LCI262202:LCR262202 LME262202:LMN262202 LWA262202:LWJ262202 MFW262202:MGF262202 MPS262202:MQB262202 MZO262202:MZX262202 NJK262202:NJT262202 NTG262202:NTP262202 ODC262202:ODL262202 OMY262202:ONH262202 OWU262202:OXD262202 PGQ262202:PGZ262202 PQM262202:PQV262202 QAI262202:QAR262202 QKE262202:QKN262202 QUA262202:QUJ262202 RDW262202:REF262202 RNS262202:ROB262202 RXO262202:RXX262202 SHK262202:SHT262202 SRG262202:SRP262202 TBC262202:TBL262202 TKY262202:TLH262202 TUU262202:TVD262202 UEQ262202:UEZ262202 UOM262202:UOV262202 UYI262202:UYR262202 VIE262202:VIN262202 VSA262202:VSJ262202 WBW262202:WCF262202 WLS262202:WMB262202 WVO262202:WVX262202 G327738:P327738 JC327738:JL327738 SY327738:TH327738 ACU327738:ADD327738 AMQ327738:AMZ327738 AWM327738:AWV327738 BGI327738:BGR327738 BQE327738:BQN327738 CAA327738:CAJ327738 CJW327738:CKF327738 CTS327738:CUB327738 DDO327738:DDX327738 DNK327738:DNT327738 DXG327738:DXP327738 EHC327738:EHL327738 EQY327738:ERH327738 FAU327738:FBD327738 FKQ327738:FKZ327738 FUM327738:FUV327738 GEI327738:GER327738 GOE327738:GON327738 GYA327738:GYJ327738 HHW327738:HIF327738 HRS327738:HSB327738 IBO327738:IBX327738 ILK327738:ILT327738 IVG327738:IVP327738 JFC327738:JFL327738 JOY327738:JPH327738 JYU327738:JZD327738 KIQ327738:KIZ327738 KSM327738:KSV327738 LCI327738:LCR327738 LME327738:LMN327738 LWA327738:LWJ327738 MFW327738:MGF327738 MPS327738:MQB327738 MZO327738:MZX327738 NJK327738:NJT327738 NTG327738:NTP327738 ODC327738:ODL327738 OMY327738:ONH327738 OWU327738:OXD327738 PGQ327738:PGZ327738 PQM327738:PQV327738 QAI327738:QAR327738 QKE327738:QKN327738 QUA327738:QUJ327738 RDW327738:REF327738 RNS327738:ROB327738 RXO327738:RXX327738 SHK327738:SHT327738 SRG327738:SRP327738 TBC327738:TBL327738 TKY327738:TLH327738 TUU327738:TVD327738 UEQ327738:UEZ327738 UOM327738:UOV327738 UYI327738:UYR327738 VIE327738:VIN327738 VSA327738:VSJ327738 WBW327738:WCF327738 WLS327738:WMB327738 WVO327738:WVX327738 G393274:P393274 JC393274:JL393274 SY393274:TH393274 ACU393274:ADD393274 AMQ393274:AMZ393274 AWM393274:AWV393274 BGI393274:BGR393274 BQE393274:BQN393274 CAA393274:CAJ393274 CJW393274:CKF393274 CTS393274:CUB393274 DDO393274:DDX393274 DNK393274:DNT393274 DXG393274:DXP393274 EHC393274:EHL393274 EQY393274:ERH393274 FAU393274:FBD393274 FKQ393274:FKZ393274 FUM393274:FUV393274 GEI393274:GER393274 GOE393274:GON393274 GYA393274:GYJ393274 HHW393274:HIF393274 HRS393274:HSB393274 IBO393274:IBX393274 ILK393274:ILT393274 IVG393274:IVP393274 JFC393274:JFL393274 JOY393274:JPH393274 JYU393274:JZD393274 KIQ393274:KIZ393274 KSM393274:KSV393274 LCI393274:LCR393274 LME393274:LMN393274 LWA393274:LWJ393274 MFW393274:MGF393274 MPS393274:MQB393274 MZO393274:MZX393274 NJK393274:NJT393274 NTG393274:NTP393274 ODC393274:ODL393274 OMY393274:ONH393274 OWU393274:OXD393274 PGQ393274:PGZ393274 PQM393274:PQV393274 QAI393274:QAR393274 QKE393274:QKN393274 QUA393274:QUJ393274 RDW393274:REF393274 RNS393274:ROB393274 RXO393274:RXX393274 SHK393274:SHT393274 SRG393274:SRP393274 TBC393274:TBL393274 TKY393274:TLH393274 TUU393274:TVD393274 UEQ393274:UEZ393274 UOM393274:UOV393274 UYI393274:UYR393274 VIE393274:VIN393274 VSA393274:VSJ393274 WBW393274:WCF393274 WLS393274:WMB393274 WVO393274:WVX393274 G458810:P458810 JC458810:JL458810 SY458810:TH458810 ACU458810:ADD458810 AMQ458810:AMZ458810 AWM458810:AWV458810 BGI458810:BGR458810 BQE458810:BQN458810 CAA458810:CAJ458810 CJW458810:CKF458810 CTS458810:CUB458810 DDO458810:DDX458810 DNK458810:DNT458810 DXG458810:DXP458810 EHC458810:EHL458810 EQY458810:ERH458810 FAU458810:FBD458810 FKQ458810:FKZ458810 FUM458810:FUV458810 GEI458810:GER458810 GOE458810:GON458810 GYA458810:GYJ458810 HHW458810:HIF458810 HRS458810:HSB458810 IBO458810:IBX458810 ILK458810:ILT458810 IVG458810:IVP458810 JFC458810:JFL458810 JOY458810:JPH458810 JYU458810:JZD458810 KIQ458810:KIZ458810 KSM458810:KSV458810 LCI458810:LCR458810 LME458810:LMN458810 LWA458810:LWJ458810 MFW458810:MGF458810 MPS458810:MQB458810 MZO458810:MZX458810 NJK458810:NJT458810 NTG458810:NTP458810 ODC458810:ODL458810 OMY458810:ONH458810 OWU458810:OXD458810 PGQ458810:PGZ458810 PQM458810:PQV458810 QAI458810:QAR458810 QKE458810:QKN458810 QUA458810:QUJ458810 RDW458810:REF458810 RNS458810:ROB458810 RXO458810:RXX458810 SHK458810:SHT458810 SRG458810:SRP458810 TBC458810:TBL458810 TKY458810:TLH458810 TUU458810:TVD458810 UEQ458810:UEZ458810 UOM458810:UOV458810 UYI458810:UYR458810 VIE458810:VIN458810 VSA458810:VSJ458810 WBW458810:WCF458810 WLS458810:WMB458810 WVO458810:WVX458810 G524346:P524346 JC524346:JL524346 SY524346:TH524346 ACU524346:ADD524346 AMQ524346:AMZ524346 AWM524346:AWV524346 BGI524346:BGR524346 BQE524346:BQN524346 CAA524346:CAJ524346 CJW524346:CKF524346 CTS524346:CUB524346 DDO524346:DDX524346 DNK524346:DNT524346 DXG524346:DXP524346 EHC524346:EHL524346 EQY524346:ERH524346 FAU524346:FBD524346 FKQ524346:FKZ524346 FUM524346:FUV524346 GEI524346:GER524346 GOE524346:GON524346 GYA524346:GYJ524346 HHW524346:HIF524346 HRS524346:HSB524346 IBO524346:IBX524346 ILK524346:ILT524346 IVG524346:IVP524346 JFC524346:JFL524346 JOY524346:JPH524346 JYU524346:JZD524346 KIQ524346:KIZ524346 KSM524346:KSV524346 LCI524346:LCR524346 LME524346:LMN524346 LWA524346:LWJ524346 MFW524346:MGF524346 MPS524346:MQB524346 MZO524346:MZX524346 NJK524346:NJT524346 NTG524346:NTP524346 ODC524346:ODL524346 OMY524346:ONH524346 OWU524346:OXD524346 PGQ524346:PGZ524346 PQM524346:PQV524346 QAI524346:QAR524346 QKE524346:QKN524346 QUA524346:QUJ524346 RDW524346:REF524346 RNS524346:ROB524346 RXO524346:RXX524346 SHK524346:SHT524346 SRG524346:SRP524346 TBC524346:TBL524346 TKY524346:TLH524346 TUU524346:TVD524346 UEQ524346:UEZ524346 UOM524346:UOV524346 UYI524346:UYR524346 VIE524346:VIN524346 VSA524346:VSJ524346 WBW524346:WCF524346 WLS524346:WMB524346 WVO524346:WVX524346 G589882:P589882 JC589882:JL589882 SY589882:TH589882 ACU589882:ADD589882 AMQ589882:AMZ589882 AWM589882:AWV589882 BGI589882:BGR589882 BQE589882:BQN589882 CAA589882:CAJ589882 CJW589882:CKF589882 CTS589882:CUB589882 DDO589882:DDX589882 DNK589882:DNT589882 DXG589882:DXP589882 EHC589882:EHL589882 EQY589882:ERH589882 FAU589882:FBD589882 FKQ589882:FKZ589882 FUM589882:FUV589882 GEI589882:GER589882 GOE589882:GON589882 GYA589882:GYJ589882 HHW589882:HIF589882 HRS589882:HSB589882 IBO589882:IBX589882 ILK589882:ILT589882 IVG589882:IVP589882 JFC589882:JFL589882 JOY589882:JPH589882 JYU589882:JZD589882 KIQ589882:KIZ589882 KSM589882:KSV589882 LCI589882:LCR589882 LME589882:LMN589882 LWA589882:LWJ589882 MFW589882:MGF589882 MPS589882:MQB589882 MZO589882:MZX589882 NJK589882:NJT589882 NTG589882:NTP589882 ODC589882:ODL589882 OMY589882:ONH589882 OWU589882:OXD589882 PGQ589882:PGZ589882 PQM589882:PQV589882 QAI589882:QAR589882 QKE589882:QKN589882 QUA589882:QUJ589882 RDW589882:REF589882 RNS589882:ROB589882 RXO589882:RXX589882 SHK589882:SHT589882 SRG589882:SRP589882 TBC589882:TBL589882 TKY589882:TLH589882 TUU589882:TVD589882 UEQ589882:UEZ589882 UOM589882:UOV589882 UYI589882:UYR589882 VIE589882:VIN589882 VSA589882:VSJ589882 WBW589882:WCF589882 WLS589882:WMB589882 WVO589882:WVX589882 G655418:P655418 JC655418:JL655418 SY655418:TH655418 ACU655418:ADD655418 AMQ655418:AMZ655418 AWM655418:AWV655418 BGI655418:BGR655418 BQE655418:BQN655418 CAA655418:CAJ655418 CJW655418:CKF655418 CTS655418:CUB655418 DDO655418:DDX655418 DNK655418:DNT655418 DXG655418:DXP655418 EHC655418:EHL655418 EQY655418:ERH655418 FAU655418:FBD655418 FKQ655418:FKZ655418 FUM655418:FUV655418 GEI655418:GER655418 GOE655418:GON655418 GYA655418:GYJ655418 HHW655418:HIF655418 HRS655418:HSB655418 IBO655418:IBX655418 ILK655418:ILT655418 IVG655418:IVP655418 JFC655418:JFL655418 JOY655418:JPH655418 JYU655418:JZD655418 KIQ655418:KIZ655418 KSM655418:KSV655418 LCI655418:LCR655418 LME655418:LMN655418 LWA655418:LWJ655418 MFW655418:MGF655418 MPS655418:MQB655418 MZO655418:MZX655418 NJK655418:NJT655418 NTG655418:NTP655418 ODC655418:ODL655418 OMY655418:ONH655418 OWU655418:OXD655418 PGQ655418:PGZ655418 PQM655418:PQV655418 QAI655418:QAR655418 QKE655418:QKN655418 QUA655418:QUJ655418 RDW655418:REF655418 RNS655418:ROB655418 RXO655418:RXX655418 SHK655418:SHT655418 SRG655418:SRP655418 TBC655418:TBL655418 TKY655418:TLH655418 TUU655418:TVD655418 UEQ655418:UEZ655418 UOM655418:UOV655418 UYI655418:UYR655418 VIE655418:VIN655418 VSA655418:VSJ655418 WBW655418:WCF655418 WLS655418:WMB655418 WVO655418:WVX655418 G720954:P720954 JC720954:JL720954 SY720954:TH720954 ACU720954:ADD720954 AMQ720954:AMZ720954 AWM720954:AWV720954 BGI720954:BGR720954 BQE720954:BQN720954 CAA720954:CAJ720954 CJW720954:CKF720954 CTS720954:CUB720954 DDO720954:DDX720954 DNK720954:DNT720954 DXG720954:DXP720954 EHC720954:EHL720954 EQY720954:ERH720954 FAU720954:FBD720954 FKQ720954:FKZ720954 FUM720954:FUV720954 GEI720954:GER720954 GOE720954:GON720954 GYA720954:GYJ720954 HHW720954:HIF720954 HRS720954:HSB720954 IBO720954:IBX720954 ILK720954:ILT720954 IVG720954:IVP720954 JFC720954:JFL720954 JOY720954:JPH720954 JYU720954:JZD720954 KIQ720954:KIZ720954 KSM720954:KSV720954 LCI720954:LCR720954 LME720954:LMN720954 LWA720954:LWJ720954 MFW720954:MGF720954 MPS720954:MQB720954 MZO720954:MZX720954 NJK720954:NJT720954 NTG720954:NTP720954 ODC720954:ODL720954 OMY720954:ONH720954 OWU720954:OXD720954 PGQ720954:PGZ720954 PQM720954:PQV720954 QAI720954:QAR720954 QKE720954:QKN720954 QUA720954:QUJ720954 RDW720954:REF720954 RNS720954:ROB720954 RXO720954:RXX720954 SHK720954:SHT720954 SRG720954:SRP720954 TBC720954:TBL720954 TKY720954:TLH720954 TUU720954:TVD720954 UEQ720954:UEZ720954 UOM720954:UOV720954 UYI720954:UYR720954 VIE720954:VIN720954 VSA720954:VSJ720954 WBW720954:WCF720954 WLS720954:WMB720954 WVO720954:WVX720954 G786490:P786490 JC786490:JL786490 SY786490:TH786490 ACU786490:ADD786490 AMQ786490:AMZ786490 AWM786490:AWV786490 BGI786490:BGR786490 BQE786490:BQN786490 CAA786490:CAJ786490 CJW786490:CKF786490 CTS786490:CUB786490 DDO786490:DDX786490 DNK786490:DNT786490 DXG786490:DXP786490 EHC786490:EHL786490 EQY786490:ERH786490 FAU786490:FBD786490 FKQ786490:FKZ786490 FUM786490:FUV786490 GEI786490:GER786490 GOE786490:GON786490 GYA786490:GYJ786490 HHW786490:HIF786490 HRS786490:HSB786490 IBO786490:IBX786490 ILK786490:ILT786490 IVG786490:IVP786490 JFC786490:JFL786490 JOY786490:JPH786490 JYU786490:JZD786490 KIQ786490:KIZ786490 KSM786490:KSV786490 LCI786490:LCR786490 LME786490:LMN786490 LWA786490:LWJ786490 MFW786490:MGF786490 MPS786490:MQB786490 MZO786490:MZX786490 NJK786490:NJT786490 NTG786490:NTP786490 ODC786490:ODL786490 OMY786490:ONH786490 OWU786490:OXD786490 PGQ786490:PGZ786490 PQM786490:PQV786490 QAI786490:QAR786490 QKE786490:QKN786490 QUA786490:QUJ786490 RDW786490:REF786490 RNS786490:ROB786490 RXO786490:RXX786490 SHK786490:SHT786490 SRG786490:SRP786490 TBC786490:TBL786490 TKY786490:TLH786490 TUU786490:TVD786490 UEQ786490:UEZ786490 UOM786490:UOV786490 UYI786490:UYR786490 VIE786490:VIN786490 VSA786490:VSJ786490 WBW786490:WCF786490 WLS786490:WMB786490 WVO786490:WVX786490 G852026:P852026 JC852026:JL852026 SY852026:TH852026 ACU852026:ADD852026 AMQ852026:AMZ852026 AWM852026:AWV852026 BGI852026:BGR852026 BQE852026:BQN852026 CAA852026:CAJ852026 CJW852026:CKF852026 CTS852026:CUB852026 DDO852026:DDX852026 DNK852026:DNT852026 DXG852026:DXP852026 EHC852026:EHL852026 EQY852026:ERH852026 FAU852026:FBD852026 FKQ852026:FKZ852026 FUM852026:FUV852026 GEI852026:GER852026 GOE852026:GON852026 GYA852026:GYJ852026 HHW852026:HIF852026 HRS852026:HSB852026 IBO852026:IBX852026 ILK852026:ILT852026 IVG852026:IVP852026 JFC852026:JFL852026 JOY852026:JPH852026 JYU852026:JZD852026 KIQ852026:KIZ852026 KSM852026:KSV852026 LCI852026:LCR852026 LME852026:LMN852026 LWA852026:LWJ852026 MFW852026:MGF852026 MPS852026:MQB852026 MZO852026:MZX852026 NJK852026:NJT852026 NTG852026:NTP852026 ODC852026:ODL852026 OMY852026:ONH852026 OWU852026:OXD852026 PGQ852026:PGZ852026 PQM852026:PQV852026 QAI852026:QAR852026 QKE852026:QKN852026 QUA852026:QUJ852026 RDW852026:REF852026 RNS852026:ROB852026 RXO852026:RXX852026 SHK852026:SHT852026 SRG852026:SRP852026 TBC852026:TBL852026 TKY852026:TLH852026 TUU852026:TVD852026 UEQ852026:UEZ852026 UOM852026:UOV852026 UYI852026:UYR852026 VIE852026:VIN852026 VSA852026:VSJ852026 WBW852026:WCF852026 WLS852026:WMB852026 WVO852026:WVX852026 G917562:P917562 JC917562:JL917562 SY917562:TH917562 ACU917562:ADD917562 AMQ917562:AMZ917562 AWM917562:AWV917562 BGI917562:BGR917562 BQE917562:BQN917562 CAA917562:CAJ917562 CJW917562:CKF917562 CTS917562:CUB917562 DDO917562:DDX917562 DNK917562:DNT917562 DXG917562:DXP917562 EHC917562:EHL917562 EQY917562:ERH917562 FAU917562:FBD917562 FKQ917562:FKZ917562 FUM917562:FUV917562 GEI917562:GER917562 GOE917562:GON917562 GYA917562:GYJ917562 HHW917562:HIF917562 HRS917562:HSB917562 IBO917562:IBX917562 ILK917562:ILT917562 IVG917562:IVP917562 JFC917562:JFL917562 JOY917562:JPH917562 JYU917562:JZD917562 KIQ917562:KIZ917562 KSM917562:KSV917562 LCI917562:LCR917562 LME917562:LMN917562 LWA917562:LWJ917562 MFW917562:MGF917562 MPS917562:MQB917562 MZO917562:MZX917562 NJK917562:NJT917562 NTG917562:NTP917562 ODC917562:ODL917562 OMY917562:ONH917562 OWU917562:OXD917562 PGQ917562:PGZ917562 PQM917562:PQV917562 QAI917562:QAR917562 QKE917562:QKN917562 QUA917562:QUJ917562 RDW917562:REF917562 RNS917562:ROB917562 RXO917562:RXX917562 SHK917562:SHT917562 SRG917562:SRP917562 TBC917562:TBL917562 TKY917562:TLH917562 TUU917562:TVD917562 UEQ917562:UEZ917562 UOM917562:UOV917562 UYI917562:UYR917562 VIE917562:VIN917562 VSA917562:VSJ917562 WBW917562:WCF917562 WLS917562:WMB917562 WVO917562:WVX917562 G983098:P983098 JC983098:JL983098 SY983098:TH983098 ACU983098:ADD983098 AMQ983098:AMZ983098 AWM983098:AWV983098 BGI983098:BGR983098 BQE983098:BQN983098 CAA983098:CAJ983098 CJW983098:CKF983098 CTS983098:CUB983098 DDO983098:DDX983098 DNK983098:DNT983098 DXG983098:DXP983098 EHC983098:EHL983098 EQY983098:ERH983098 FAU983098:FBD983098 FKQ983098:FKZ983098 FUM983098:FUV983098 GEI983098:GER983098 GOE983098:GON983098 GYA983098:GYJ983098 HHW983098:HIF983098 HRS983098:HSB983098 IBO983098:IBX983098 ILK983098:ILT983098 IVG983098:IVP983098 JFC983098:JFL983098 JOY983098:JPH983098 JYU983098:JZD983098 KIQ983098:KIZ983098 KSM983098:KSV983098 LCI983098:LCR983098 LME983098:LMN983098 LWA983098:LWJ983098 MFW983098:MGF983098 MPS983098:MQB983098 MZO983098:MZX983098 NJK983098:NJT983098 NTG983098:NTP983098 ODC983098:ODL983098 OMY983098:ONH983098 OWU983098:OXD983098 PGQ983098:PGZ983098 PQM983098:PQV983098 QAI983098:QAR983098 QKE983098:QKN983098 QUA983098:QUJ983098 RDW983098:REF983098 RNS983098:ROB983098 RXO983098:RXX983098 SHK983098:SHT983098 SRG983098:SRP983098 TBC983098:TBL983098 TKY983098:TLH983098 TUU983098:TVD983098 UEQ983098:UEZ983098 UOM983098:UOV983098 UYI983098:UYR983098 VIE983098:VIN983098 VSA983098:VSJ983098 WBW983098:WCF983098 WLS983098:WMB983098 WVO983098:WVX983098 G32:G42 JC32:JC42 SY32:SY42 ACU32:ACU42 AMQ32:AMQ42 AWM32:AWM42 BGI32:BGI42 BQE32:BQE42 CAA32:CAA42 CJW32:CJW42 CTS32:CTS42 DDO32:DDO42 DNK32:DNK42 DXG32:DXG42 EHC32:EHC42 EQY32:EQY42 FAU32:FAU42 FKQ32:FKQ42 FUM32:FUM42 GEI32:GEI42 GOE32:GOE42 GYA32:GYA42 HHW32:HHW42 HRS32:HRS42 IBO32:IBO42 ILK32:ILK42 IVG32:IVG42 JFC32:JFC42 JOY32:JOY42 JYU32:JYU42 KIQ32:KIQ42 KSM32:KSM42 LCI32:LCI42 LME32:LME42 LWA32:LWA42 MFW32:MFW42 MPS32:MPS42 MZO32:MZO42 NJK32:NJK42 NTG32:NTG42 ODC32:ODC42 OMY32:OMY42 OWU32:OWU42 PGQ32:PGQ42 PQM32:PQM42 QAI32:QAI42 QKE32:QKE42 QUA32:QUA42 RDW32:RDW42 RNS32:RNS42 RXO32:RXO42 SHK32:SHK42 SRG32:SRG42 TBC32:TBC42 TKY32:TKY42 TUU32:TUU42 UEQ32:UEQ42 UOM32:UOM42 UYI32:UYI42 VIE32:VIE42 VSA32:VSA42 WBW32:WBW42 WLS32:WLS42 WVO32:WVO42 G65568:G65578 JC65568:JC65578 SY65568:SY65578 ACU65568:ACU65578 AMQ65568:AMQ65578 AWM65568:AWM65578 BGI65568:BGI65578 BQE65568:BQE65578 CAA65568:CAA65578 CJW65568:CJW65578 CTS65568:CTS65578 DDO65568:DDO65578 DNK65568:DNK65578 DXG65568:DXG65578 EHC65568:EHC65578 EQY65568:EQY65578 FAU65568:FAU65578 FKQ65568:FKQ65578 FUM65568:FUM65578 GEI65568:GEI65578 GOE65568:GOE65578 GYA65568:GYA65578 HHW65568:HHW65578 HRS65568:HRS65578 IBO65568:IBO65578 ILK65568:ILK65578 IVG65568:IVG65578 JFC65568:JFC65578 JOY65568:JOY65578 JYU65568:JYU65578 KIQ65568:KIQ65578 KSM65568:KSM65578 LCI65568:LCI65578 LME65568:LME65578 LWA65568:LWA65578 MFW65568:MFW65578 MPS65568:MPS65578 MZO65568:MZO65578 NJK65568:NJK65578 NTG65568:NTG65578 ODC65568:ODC65578 OMY65568:OMY65578 OWU65568:OWU65578 PGQ65568:PGQ65578 PQM65568:PQM65578 QAI65568:QAI65578 QKE65568:QKE65578 QUA65568:QUA65578 RDW65568:RDW65578 RNS65568:RNS65578 RXO65568:RXO65578 SHK65568:SHK65578 SRG65568:SRG65578 TBC65568:TBC65578 TKY65568:TKY65578 TUU65568:TUU65578 UEQ65568:UEQ65578 UOM65568:UOM65578 UYI65568:UYI65578 VIE65568:VIE65578 VSA65568:VSA65578 WBW65568:WBW65578 WLS65568:WLS65578 WVO65568:WVO65578 G131104:G131114 JC131104:JC131114 SY131104:SY131114 ACU131104:ACU131114 AMQ131104:AMQ131114 AWM131104:AWM131114 BGI131104:BGI131114 BQE131104:BQE131114 CAA131104:CAA131114 CJW131104:CJW131114 CTS131104:CTS131114 DDO131104:DDO131114 DNK131104:DNK131114 DXG131104:DXG131114 EHC131104:EHC131114 EQY131104:EQY131114 FAU131104:FAU131114 FKQ131104:FKQ131114 FUM131104:FUM131114 GEI131104:GEI131114 GOE131104:GOE131114 GYA131104:GYA131114 HHW131104:HHW131114 HRS131104:HRS131114 IBO131104:IBO131114 ILK131104:ILK131114 IVG131104:IVG131114 JFC131104:JFC131114 JOY131104:JOY131114 JYU131104:JYU131114 KIQ131104:KIQ131114 KSM131104:KSM131114 LCI131104:LCI131114 LME131104:LME131114 LWA131104:LWA131114 MFW131104:MFW131114 MPS131104:MPS131114 MZO131104:MZO131114 NJK131104:NJK131114 NTG131104:NTG131114 ODC131104:ODC131114 OMY131104:OMY131114 OWU131104:OWU131114 PGQ131104:PGQ131114 PQM131104:PQM131114 QAI131104:QAI131114 QKE131104:QKE131114 QUA131104:QUA131114 RDW131104:RDW131114 RNS131104:RNS131114 RXO131104:RXO131114 SHK131104:SHK131114 SRG131104:SRG131114 TBC131104:TBC131114 TKY131104:TKY131114 TUU131104:TUU131114 UEQ131104:UEQ131114 UOM131104:UOM131114 UYI131104:UYI131114 VIE131104:VIE131114 VSA131104:VSA131114 WBW131104:WBW131114 WLS131104:WLS131114 WVO131104:WVO131114 G196640:G196650 JC196640:JC196650 SY196640:SY196650 ACU196640:ACU196650 AMQ196640:AMQ196650 AWM196640:AWM196650 BGI196640:BGI196650 BQE196640:BQE196650 CAA196640:CAA196650 CJW196640:CJW196650 CTS196640:CTS196650 DDO196640:DDO196650 DNK196640:DNK196650 DXG196640:DXG196650 EHC196640:EHC196650 EQY196640:EQY196650 FAU196640:FAU196650 FKQ196640:FKQ196650 FUM196640:FUM196650 GEI196640:GEI196650 GOE196640:GOE196650 GYA196640:GYA196650 HHW196640:HHW196650 HRS196640:HRS196650 IBO196640:IBO196650 ILK196640:ILK196650 IVG196640:IVG196650 JFC196640:JFC196650 JOY196640:JOY196650 JYU196640:JYU196650 KIQ196640:KIQ196650 KSM196640:KSM196650 LCI196640:LCI196650 LME196640:LME196650 LWA196640:LWA196650 MFW196640:MFW196650 MPS196640:MPS196650 MZO196640:MZO196650 NJK196640:NJK196650 NTG196640:NTG196650 ODC196640:ODC196650 OMY196640:OMY196650 OWU196640:OWU196650 PGQ196640:PGQ196650 PQM196640:PQM196650 QAI196640:QAI196650 QKE196640:QKE196650 QUA196640:QUA196650 RDW196640:RDW196650 RNS196640:RNS196650 RXO196640:RXO196650 SHK196640:SHK196650 SRG196640:SRG196650 TBC196640:TBC196650 TKY196640:TKY196650 TUU196640:TUU196650 UEQ196640:UEQ196650 UOM196640:UOM196650 UYI196640:UYI196650 VIE196640:VIE196650 VSA196640:VSA196650 WBW196640:WBW196650 WLS196640:WLS196650 WVO196640:WVO196650 G262176:G262186 JC262176:JC262186 SY262176:SY262186 ACU262176:ACU262186 AMQ262176:AMQ262186 AWM262176:AWM262186 BGI262176:BGI262186 BQE262176:BQE262186 CAA262176:CAA262186 CJW262176:CJW262186 CTS262176:CTS262186 DDO262176:DDO262186 DNK262176:DNK262186 DXG262176:DXG262186 EHC262176:EHC262186 EQY262176:EQY262186 FAU262176:FAU262186 FKQ262176:FKQ262186 FUM262176:FUM262186 GEI262176:GEI262186 GOE262176:GOE262186 GYA262176:GYA262186 HHW262176:HHW262186 HRS262176:HRS262186 IBO262176:IBO262186 ILK262176:ILK262186 IVG262176:IVG262186 JFC262176:JFC262186 JOY262176:JOY262186 JYU262176:JYU262186 KIQ262176:KIQ262186 KSM262176:KSM262186 LCI262176:LCI262186 LME262176:LME262186 LWA262176:LWA262186 MFW262176:MFW262186 MPS262176:MPS262186 MZO262176:MZO262186 NJK262176:NJK262186 NTG262176:NTG262186 ODC262176:ODC262186 OMY262176:OMY262186 OWU262176:OWU262186 PGQ262176:PGQ262186 PQM262176:PQM262186 QAI262176:QAI262186 QKE262176:QKE262186 QUA262176:QUA262186 RDW262176:RDW262186 RNS262176:RNS262186 RXO262176:RXO262186 SHK262176:SHK262186 SRG262176:SRG262186 TBC262176:TBC262186 TKY262176:TKY262186 TUU262176:TUU262186 UEQ262176:UEQ262186 UOM262176:UOM262186 UYI262176:UYI262186 VIE262176:VIE262186 VSA262176:VSA262186 WBW262176:WBW262186 WLS262176:WLS262186 WVO262176:WVO262186 G327712:G327722 JC327712:JC327722 SY327712:SY327722 ACU327712:ACU327722 AMQ327712:AMQ327722 AWM327712:AWM327722 BGI327712:BGI327722 BQE327712:BQE327722 CAA327712:CAA327722 CJW327712:CJW327722 CTS327712:CTS327722 DDO327712:DDO327722 DNK327712:DNK327722 DXG327712:DXG327722 EHC327712:EHC327722 EQY327712:EQY327722 FAU327712:FAU327722 FKQ327712:FKQ327722 FUM327712:FUM327722 GEI327712:GEI327722 GOE327712:GOE327722 GYA327712:GYA327722 HHW327712:HHW327722 HRS327712:HRS327722 IBO327712:IBO327722 ILK327712:ILK327722 IVG327712:IVG327722 JFC327712:JFC327722 JOY327712:JOY327722 JYU327712:JYU327722 KIQ327712:KIQ327722 KSM327712:KSM327722 LCI327712:LCI327722 LME327712:LME327722 LWA327712:LWA327722 MFW327712:MFW327722 MPS327712:MPS327722 MZO327712:MZO327722 NJK327712:NJK327722 NTG327712:NTG327722 ODC327712:ODC327722 OMY327712:OMY327722 OWU327712:OWU327722 PGQ327712:PGQ327722 PQM327712:PQM327722 QAI327712:QAI327722 QKE327712:QKE327722 QUA327712:QUA327722 RDW327712:RDW327722 RNS327712:RNS327722 RXO327712:RXO327722 SHK327712:SHK327722 SRG327712:SRG327722 TBC327712:TBC327722 TKY327712:TKY327722 TUU327712:TUU327722 UEQ327712:UEQ327722 UOM327712:UOM327722 UYI327712:UYI327722 VIE327712:VIE327722 VSA327712:VSA327722 WBW327712:WBW327722 WLS327712:WLS327722 WVO327712:WVO327722 G393248:G393258 JC393248:JC393258 SY393248:SY393258 ACU393248:ACU393258 AMQ393248:AMQ393258 AWM393248:AWM393258 BGI393248:BGI393258 BQE393248:BQE393258 CAA393248:CAA393258 CJW393248:CJW393258 CTS393248:CTS393258 DDO393248:DDO393258 DNK393248:DNK393258 DXG393248:DXG393258 EHC393248:EHC393258 EQY393248:EQY393258 FAU393248:FAU393258 FKQ393248:FKQ393258 FUM393248:FUM393258 GEI393248:GEI393258 GOE393248:GOE393258 GYA393248:GYA393258 HHW393248:HHW393258 HRS393248:HRS393258 IBO393248:IBO393258 ILK393248:ILK393258 IVG393248:IVG393258 JFC393248:JFC393258 JOY393248:JOY393258 JYU393248:JYU393258 KIQ393248:KIQ393258 KSM393248:KSM393258 LCI393248:LCI393258 LME393248:LME393258 LWA393248:LWA393258 MFW393248:MFW393258 MPS393248:MPS393258 MZO393248:MZO393258 NJK393248:NJK393258 NTG393248:NTG393258 ODC393248:ODC393258 OMY393248:OMY393258 OWU393248:OWU393258 PGQ393248:PGQ393258 PQM393248:PQM393258 QAI393248:QAI393258 QKE393248:QKE393258 QUA393248:QUA393258 RDW393248:RDW393258 RNS393248:RNS393258 RXO393248:RXO393258 SHK393248:SHK393258 SRG393248:SRG393258 TBC393248:TBC393258 TKY393248:TKY393258 TUU393248:TUU393258 UEQ393248:UEQ393258 UOM393248:UOM393258 UYI393248:UYI393258 VIE393248:VIE393258 VSA393248:VSA393258 WBW393248:WBW393258 WLS393248:WLS393258 WVO393248:WVO393258 G458784:G458794 JC458784:JC458794 SY458784:SY458794 ACU458784:ACU458794 AMQ458784:AMQ458794 AWM458784:AWM458794 BGI458784:BGI458794 BQE458784:BQE458794 CAA458784:CAA458794 CJW458784:CJW458794 CTS458784:CTS458794 DDO458784:DDO458794 DNK458784:DNK458794 DXG458784:DXG458794 EHC458784:EHC458794 EQY458784:EQY458794 FAU458784:FAU458794 FKQ458784:FKQ458794 FUM458784:FUM458794 GEI458784:GEI458794 GOE458784:GOE458794 GYA458784:GYA458794 HHW458784:HHW458794 HRS458784:HRS458794 IBO458784:IBO458794 ILK458784:ILK458794 IVG458784:IVG458794 JFC458784:JFC458794 JOY458784:JOY458794 JYU458784:JYU458794 KIQ458784:KIQ458794 KSM458784:KSM458794 LCI458784:LCI458794 LME458784:LME458794 LWA458784:LWA458794 MFW458784:MFW458794 MPS458784:MPS458794 MZO458784:MZO458794 NJK458784:NJK458794 NTG458784:NTG458794 ODC458784:ODC458794 OMY458784:OMY458794 OWU458784:OWU458794 PGQ458784:PGQ458794 PQM458784:PQM458794 QAI458784:QAI458794 QKE458784:QKE458794 QUA458784:QUA458794 RDW458784:RDW458794 RNS458784:RNS458794 RXO458784:RXO458794 SHK458784:SHK458794 SRG458784:SRG458794 TBC458784:TBC458794 TKY458784:TKY458794 TUU458784:TUU458794 UEQ458784:UEQ458794 UOM458784:UOM458794 UYI458784:UYI458794 VIE458784:VIE458794 VSA458784:VSA458794 WBW458784:WBW458794 WLS458784:WLS458794 WVO458784:WVO458794 G524320:G524330 JC524320:JC524330 SY524320:SY524330 ACU524320:ACU524330 AMQ524320:AMQ524330 AWM524320:AWM524330 BGI524320:BGI524330 BQE524320:BQE524330 CAA524320:CAA524330 CJW524320:CJW524330 CTS524320:CTS524330 DDO524320:DDO524330 DNK524320:DNK524330 DXG524320:DXG524330 EHC524320:EHC524330 EQY524320:EQY524330 FAU524320:FAU524330 FKQ524320:FKQ524330 FUM524320:FUM524330 GEI524320:GEI524330 GOE524320:GOE524330 GYA524320:GYA524330 HHW524320:HHW524330 HRS524320:HRS524330 IBO524320:IBO524330 ILK524320:ILK524330 IVG524320:IVG524330 JFC524320:JFC524330 JOY524320:JOY524330 JYU524320:JYU524330 KIQ524320:KIQ524330 KSM524320:KSM524330 LCI524320:LCI524330 LME524320:LME524330 LWA524320:LWA524330 MFW524320:MFW524330 MPS524320:MPS524330 MZO524320:MZO524330 NJK524320:NJK524330 NTG524320:NTG524330 ODC524320:ODC524330 OMY524320:OMY524330 OWU524320:OWU524330 PGQ524320:PGQ524330 PQM524320:PQM524330 QAI524320:QAI524330 QKE524320:QKE524330 QUA524320:QUA524330 RDW524320:RDW524330 RNS524320:RNS524330 RXO524320:RXO524330 SHK524320:SHK524330 SRG524320:SRG524330 TBC524320:TBC524330 TKY524320:TKY524330 TUU524320:TUU524330 UEQ524320:UEQ524330 UOM524320:UOM524330 UYI524320:UYI524330 VIE524320:VIE524330 VSA524320:VSA524330 WBW524320:WBW524330 WLS524320:WLS524330 WVO524320:WVO524330 G589856:G589866 JC589856:JC589866 SY589856:SY589866 ACU589856:ACU589866 AMQ589856:AMQ589866 AWM589856:AWM589866 BGI589856:BGI589866 BQE589856:BQE589866 CAA589856:CAA589866 CJW589856:CJW589866 CTS589856:CTS589866 DDO589856:DDO589866 DNK589856:DNK589866 DXG589856:DXG589866 EHC589856:EHC589866 EQY589856:EQY589866 FAU589856:FAU589866 FKQ589856:FKQ589866 FUM589856:FUM589866 GEI589856:GEI589866 GOE589856:GOE589866 GYA589856:GYA589866 HHW589856:HHW589866 HRS589856:HRS589866 IBO589856:IBO589866 ILK589856:ILK589866 IVG589856:IVG589866 JFC589856:JFC589866 JOY589856:JOY589866 JYU589856:JYU589866 KIQ589856:KIQ589866 KSM589856:KSM589866 LCI589856:LCI589866 LME589856:LME589866 LWA589856:LWA589866 MFW589856:MFW589866 MPS589856:MPS589866 MZO589856:MZO589866 NJK589856:NJK589866 NTG589856:NTG589866 ODC589856:ODC589866 OMY589856:OMY589866 OWU589856:OWU589866 PGQ589856:PGQ589866 PQM589856:PQM589866 QAI589856:QAI589866 QKE589856:QKE589866 QUA589856:QUA589866 RDW589856:RDW589866 RNS589856:RNS589866 RXO589856:RXO589866 SHK589856:SHK589866 SRG589856:SRG589866 TBC589856:TBC589866 TKY589856:TKY589866 TUU589856:TUU589866 UEQ589856:UEQ589866 UOM589856:UOM589866 UYI589856:UYI589866 VIE589856:VIE589866 VSA589856:VSA589866 WBW589856:WBW589866 WLS589856:WLS589866 WVO589856:WVO589866 G655392:G655402 JC655392:JC655402 SY655392:SY655402 ACU655392:ACU655402 AMQ655392:AMQ655402 AWM655392:AWM655402 BGI655392:BGI655402 BQE655392:BQE655402 CAA655392:CAA655402 CJW655392:CJW655402 CTS655392:CTS655402 DDO655392:DDO655402 DNK655392:DNK655402 DXG655392:DXG655402 EHC655392:EHC655402 EQY655392:EQY655402 FAU655392:FAU655402 FKQ655392:FKQ655402 FUM655392:FUM655402 GEI655392:GEI655402 GOE655392:GOE655402 GYA655392:GYA655402 HHW655392:HHW655402 HRS655392:HRS655402 IBO655392:IBO655402 ILK655392:ILK655402 IVG655392:IVG655402 JFC655392:JFC655402 JOY655392:JOY655402 JYU655392:JYU655402 KIQ655392:KIQ655402 KSM655392:KSM655402 LCI655392:LCI655402 LME655392:LME655402 LWA655392:LWA655402 MFW655392:MFW655402 MPS655392:MPS655402 MZO655392:MZO655402 NJK655392:NJK655402 NTG655392:NTG655402 ODC655392:ODC655402 OMY655392:OMY655402 OWU655392:OWU655402 PGQ655392:PGQ655402 PQM655392:PQM655402 QAI655392:QAI655402 QKE655392:QKE655402 QUA655392:QUA655402 RDW655392:RDW655402 RNS655392:RNS655402 RXO655392:RXO655402 SHK655392:SHK655402 SRG655392:SRG655402 TBC655392:TBC655402 TKY655392:TKY655402 TUU655392:TUU655402 UEQ655392:UEQ655402 UOM655392:UOM655402 UYI655392:UYI655402 VIE655392:VIE655402 VSA655392:VSA655402 WBW655392:WBW655402 WLS655392:WLS655402 WVO655392:WVO655402 G720928:G720938 JC720928:JC720938 SY720928:SY720938 ACU720928:ACU720938 AMQ720928:AMQ720938 AWM720928:AWM720938 BGI720928:BGI720938 BQE720928:BQE720938 CAA720928:CAA720938 CJW720928:CJW720938 CTS720928:CTS720938 DDO720928:DDO720938 DNK720928:DNK720938 DXG720928:DXG720938 EHC720928:EHC720938 EQY720928:EQY720938 FAU720928:FAU720938 FKQ720928:FKQ720938 FUM720928:FUM720938 GEI720928:GEI720938 GOE720928:GOE720938 GYA720928:GYA720938 HHW720928:HHW720938 HRS720928:HRS720938 IBO720928:IBO720938 ILK720928:ILK720938 IVG720928:IVG720938 JFC720928:JFC720938 JOY720928:JOY720938 JYU720928:JYU720938 KIQ720928:KIQ720938 KSM720928:KSM720938 LCI720928:LCI720938 LME720928:LME720938 LWA720928:LWA720938 MFW720928:MFW720938 MPS720928:MPS720938 MZO720928:MZO720938 NJK720928:NJK720938 NTG720928:NTG720938 ODC720928:ODC720938 OMY720928:OMY720938 OWU720928:OWU720938 PGQ720928:PGQ720938 PQM720928:PQM720938 QAI720928:QAI720938 QKE720928:QKE720938 QUA720928:QUA720938 RDW720928:RDW720938 RNS720928:RNS720938 RXO720928:RXO720938 SHK720928:SHK720938 SRG720928:SRG720938 TBC720928:TBC720938 TKY720928:TKY720938 TUU720928:TUU720938 UEQ720928:UEQ720938 UOM720928:UOM720938 UYI720928:UYI720938 VIE720928:VIE720938 VSA720928:VSA720938 WBW720928:WBW720938 WLS720928:WLS720938 WVO720928:WVO720938 G786464:G786474 JC786464:JC786474 SY786464:SY786474 ACU786464:ACU786474 AMQ786464:AMQ786474 AWM786464:AWM786474 BGI786464:BGI786474 BQE786464:BQE786474 CAA786464:CAA786474 CJW786464:CJW786474 CTS786464:CTS786474 DDO786464:DDO786474 DNK786464:DNK786474 DXG786464:DXG786474 EHC786464:EHC786474 EQY786464:EQY786474 FAU786464:FAU786474 FKQ786464:FKQ786474 FUM786464:FUM786474 GEI786464:GEI786474 GOE786464:GOE786474 GYA786464:GYA786474 HHW786464:HHW786474 HRS786464:HRS786474 IBO786464:IBO786474 ILK786464:ILK786474 IVG786464:IVG786474 JFC786464:JFC786474 JOY786464:JOY786474 JYU786464:JYU786474 KIQ786464:KIQ786474 KSM786464:KSM786474 LCI786464:LCI786474 LME786464:LME786474 LWA786464:LWA786474 MFW786464:MFW786474 MPS786464:MPS786474 MZO786464:MZO786474 NJK786464:NJK786474 NTG786464:NTG786474 ODC786464:ODC786474 OMY786464:OMY786474 OWU786464:OWU786474 PGQ786464:PGQ786474 PQM786464:PQM786474 QAI786464:QAI786474 QKE786464:QKE786474 QUA786464:QUA786474 RDW786464:RDW786474 RNS786464:RNS786474 RXO786464:RXO786474 SHK786464:SHK786474 SRG786464:SRG786474 TBC786464:TBC786474 TKY786464:TKY786474 TUU786464:TUU786474 UEQ786464:UEQ786474 UOM786464:UOM786474 UYI786464:UYI786474 VIE786464:VIE786474 VSA786464:VSA786474 WBW786464:WBW786474 WLS786464:WLS786474 WVO786464:WVO786474 G852000:G852010 JC852000:JC852010 SY852000:SY852010 ACU852000:ACU852010 AMQ852000:AMQ852010 AWM852000:AWM852010 BGI852000:BGI852010 BQE852000:BQE852010 CAA852000:CAA852010 CJW852000:CJW852010 CTS852000:CTS852010 DDO852000:DDO852010 DNK852000:DNK852010 DXG852000:DXG852010 EHC852000:EHC852010 EQY852000:EQY852010 FAU852000:FAU852010 FKQ852000:FKQ852010 FUM852000:FUM852010 GEI852000:GEI852010 GOE852000:GOE852010 GYA852000:GYA852010 HHW852000:HHW852010 HRS852000:HRS852010 IBO852000:IBO852010 ILK852000:ILK852010 IVG852000:IVG852010 JFC852000:JFC852010 JOY852000:JOY852010 JYU852000:JYU852010 KIQ852000:KIQ852010 KSM852000:KSM852010 LCI852000:LCI852010 LME852000:LME852010 LWA852000:LWA852010 MFW852000:MFW852010 MPS852000:MPS852010 MZO852000:MZO852010 NJK852000:NJK852010 NTG852000:NTG852010 ODC852000:ODC852010 OMY852000:OMY852010 OWU852000:OWU852010 PGQ852000:PGQ852010 PQM852000:PQM852010 QAI852000:QAI852010 QKE852000:QKE852010 QUA852000:QUA852010 RDW852000:RDW852010 RNS852000:RNS852010 RXO852000:RXO852010 SHK852000:SHK852010 SRG852000:SRG852010 TBC852000:TBC852010 TKY852000:TKY852010 TUU852000:TUU852010 UEQ852000:UEQ852010 UOM852000:UOM852010 UYI852000:UYI852010 VIE852000:VIE852010 VSA852000:VSA852010 WBW852000:WBW852010 WLS852000:WLS852010 WVO852000:WVO852010 G917536:G917546 JC917536:JC917546 SY917536:SY917546 ACU917536:ACU917546 AMQ917536:AMQ917546 AWM917536:AWM917546 BGI917536:BGI917546 BQE917536:BQE917546 CAA917536:CAA917546 CJW917536:CJW917546 CTS917536:CTS917546 DDO917536:DDO917546 DNK917536:DNK917546 DXG917536:DXG917546 EHC917536:EHC917546 EQY917536:EQY917546 FAU917536:FAU917546 FKQ917536:FKQ917546 FUM917536:FUM917546 GEI917536:GEI917546 GOE917536:GOE917546 GYA917536:GYA917546 HHW917536:HHW917546 HRS917536:HRS917546 IBO917536:IBO917546 ILK917536:ILK917546 IVG917536:IVG917546 JFC917536:JFC917546 JOY917536:JOY917546 JYU917536:JYU917546 KIQ917536:KIQ917546 KSM917536:KSM917546 LCI917536:LCI917546 LME917536:LME917546 LWA917536:LWA917546 MFW917536:MFW917546 MPS917536:MPS917546 MZO917536:MZO917546 NJK917536:NJK917546 NTG917536:NTG917546 ODC917536:ODC917546 OMY917536:OMY917546 OWU917536:OWU917546 PGQ917536:PGQ917546 PQM917536:PQM917546 QAI917536:QAI917546 QKE917536:QKE917546 QUA917536:QUA917546 RDW917536:RDW917546 RNS917536:RNS917546 RXO917536:RXO917546 SHK917536:SHK917546 SRG917536:SRG917546 TBC917536:TBC917546 TKY917536:TKY917546 TUU917536:TUU917546 UEQ917536:UEQ917546 UOM917536:UOM917546 UYI917536:UYI917546 VIE917536:VIE917546 VSA917536:VSA917546 WBW917536:WBW917546 WLS917536:WLS917546 WVO917536:WVO917546 G983072:G983082 JC983072:JC983082 SY983072:SY983082 ACU983072:ACU983082 AMQ983072:AMQ983082 AWM983072:AWM983082 BGI983072:BGI983082 BQE983072:BQE983082 CAA983072:CAA983082 CJW983072:CJW983082 CTS983072:CTS983082 DDO983072:DDO983082 DNK983072:DNK983082 DXG983072:DXG983082 EHC983072:EHC983082 EQY983072:EQY983082 FAU983072:FAU983082 FKQ983072:FKQ983082 FUM983072:FUM983082 GEI983072:GEI983082 GOE983072:GOE983082 GYA983072:GYA983082 HHW983072:HHW983082 HRS983072:HRS983082 IBO983072:IBO983082 ILK983072:ILK983082 IVG983072:IVG983082 JFC983072:JFC983082 JOY983072:JOY983082 JYU983072:JYU983082 KIQ983072:KIQ983082 KSM983072:KSM983082 LCI983072:LCI983082 LME983072:LME983082 LWA983072:LWA983082 MFW983072:MFW983082 MPS983072:MPS983082 MZO983072:MZO983082 NJK983072:NJK983082 NTG983072:NTG983082 ODC983072:ODC983082 OMY983072:OMY983082 OWU983072:OWU983082 PGQ983072:PGQ983082 PQM983072:PQM983082 QAI983072:QAI983082 QKE983072:QKE983082 QUA983072:QUA983082 RDW983072:RDW983082 RNS983072:RNS983082 RXO983072:RXO983082 SHK983072:SHK983082 SRG983072:SRG983082 TBC983072:TBC983082 TKY983072:TKY983082 TUU983072:TUU983082 UEQ983072:UEQ983082 UOM983072:UOM983082 UYI983072:UYI983082 VIE983072:VIE983082 VSA983072:VSA983082 WBW983072:WBW983082 WLS983072:WLS983082 WVO983072:WVO983082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10"/>
  <sheetViews>
    <sheetView workbookViewId="0">
      <selection activeCell="L23" sqref="L23"/>
    </sheetView>
  </sheetViews>
  <sheetFormatPr defaultRowHeight="18"/>
  <cols>
    <col min="1" max="1" width="2.7109375" style="1472" customWidth="1"/>
    <col min="2" max="3" width="15.7109375" style="1472" customWidth="1"/>
    <col min="4" max="4" width="24.140625" style="1472" customWidth="1"/>
    <col min="5" max="9" width="15.7109375" style="1472" customWidth="1"/>
    <col min="10" max="16384" width="9.140625" style="1472"/>
  </cols>
  <sheetData>
    <row r="2" spans="2:9" ht="20.25">
      <c r="B2" s="2179" t="s">
        <v>2228</v>
      </c>
      <c r="C2" s="2179"/>
      <c r="D2" s="2179"/>
      <c r="E2" s="2179"/>
      <c r="F2" s="2179"/>
      <c r="G2" s="2179"/>
      <c r="H2" s="2179"/>
      <c r="I2" s="2179"/>
    </row>
    <row r="4" spans="2:9" ht="86.25" customHeight="1">
      <c r="B4" s="2514" t="s">
        <v>1930</v>
      </c>
      <c r="C4" s="2514" t="s">
        <v>1931</v>
      </c>
      <c r="D4" s="2514" t="s">
        <v>1932</v>
      </c>
      <c r="E4" s="1671" t="s">
        <v>1933</v>
      </c>
      <c r="F4" s="1671" t="s">
        <v>1933</v>
      </c>
      <c r="G4" s="1671" t="s">
        <v>1934</v>
      </c>
      <c r="H4" s="2514" t="s">
        <v>1935</v>
      </c>
      <c r="I4" s="1671" t="s">
        <v>1936</v>
      </c>
    </row>
    <row r="5" spans="2:9" ht="25.5">
      <c r="B5" s="2515"/>
      <c r="C5" s="2515"/>
      <c r="D5" s="2515"/>
      <c r="E5" s="1671" t="s">
        <v>1330</v>
      </c>
      <c r="F5" s="1671" t="s">
        <v>1290</v>
      </c>
      <c r="G5" s="1671" t="s">
        <v>1330</v>
      </c>
      <c r="H5" s="2515"/>
      <c r="I5" s="1671" t="s">
        <v>1290</v>
      </c>
    </row>
    <row r="6" spans="2:9">
      <c r="B6" s="1665"/>
      <c r="C6" s="1666"/>
      <c r="D6" s="1667" t="s">
        <v>1937</v>
      </c>
      <c r="E6" s="1666"/>
      <c r="F6" s="1666"/>
      <c r="G6" s="1666"/>
      <c r="H6" s="1666"/>
      <c r="I6" s="1666"/>
    </row>
    <row r="7" spans="2:9">
      <c r="B7" s="1666"/>
      <c r="C7" s="1666"/>
      <c r="D7" s="1668"/>
      <c r="E7" s="1669"/>
      <c r="F7" s="1669"/>
      <c r="G7" s="1670"/>
      <c r="H7" s="1670"/>
      <c r="I7" s="1670"/>
    </row>
    <row r="8" spans="2:9">
      <c r="B8" s="1666"/>
      <c r="C8" s="1666"/>
      <c r="D8" s="1668"/>
      <c r="E8" s="1669"/>
      <c r="F8" s="1669"/>
      <c r="G8" s="1670"/>
      <c r="H8" s="1670"/>
      <c r="I8" s="1670"/>
    </row>
    <row r="9" spans="2:9">
      <c r="B9" s="1666"/>
      <c r="C9" s="1666"/>
      <c r="D9" s="1668"/>
      <c r="E9" s="1669"/>
      <c r="F9" s="1669"/>
      <c r="G9" s="1670"/>
      <c r="H9" s="1670"/>
      <c r="I9" s="1670"/>
    </row>
    <row r="10" spans="2:9">
      <c r="B10" s="1666"/>
      <c r="C10" s="1666"/>
      <c r="D10" s="1668"/>
      <c r="E10" s="1669"/>
      <c r="F10" s="1669"/>
      <c r="G10" s="1670"/>
      <c r="H10" s="1670"/>
      <c r="I10" s="1670"/>
    </row>
  </sheetData>
  <mergeCells count="5">
    <mergeCell ref="B4:B5"/>
    <mergeCell ref="C4:C5"/>
    <mergeCell ref="D4:D5"/>
    <mergeCell ref="H4:H5"/>
    <mergeCell ref="B2:I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41"/>
  <sheetViews>
    <sheetView zoomScale="70" zoomScaleNormal="70" workbookViewId="0">
      <selection activeCell="C43" sqref="C43"/>
    </sheetView>
  </sheetViews>
  <sheetFormatPr defaultRowHeight="18" outlineLevelRow="1"/>
  <cols>
    <col min="1" max="1" width="2.7109375" style="1472" customWidth="1"/>
    <col min="2" max="3" width="50.7109375" style="1472" customWidth="1"/>
    <col min="4" max="4" width="2.7109375" style="1472" customWidth="1"/>
    <col min="5" max="16384" width="9.140625" style="1472"/>
  </cols>
  <sheetData>
    <row r="1" spans="1:3">
      <c r="A1" s="1471"/>
    </row>
    <row r="2" spans="1:3" ht="20.25">
      <c r="A2" s="1471"/>
      <c r="B2" s="2179" t="s">
        <v>1894</v>
      </c>
      <c r="C2" s="2179"/>
    </row>
    <row r="3" spans="1:3">
      <c r="A3" s="1471"/>
    </row>
    <row r="4" spans="1:3">
      <c r="B4" s="1473" t="s">
        <v>1874</v>
      </c>
      <c r="C4" s="1474"/>
    </row>
    <row r="5" spans="1:3">
      <c r="B5" s="1475"/>
      <c r="C5" s="1476"/>
    </row>
    <row r="6" spans="1:3">
      <c r="B6" s="1473" t="s">
        <v>1192</v>
      </c>
      <c r="C6" s="1474"/>
    </row>
    <row r="7" spans="1:3" ht="36">
      <c r="B7" s="1473" t="s">
        <v>1193</v>
      </c>
      <c r="C7" s="1474"/>
    </row>
    <row r="8" spans="1:3">
      <c r="B8" s="1473" t="s">
        <v>1195</v>
      </c>
      <c r="C8" s="1477"/>
    </row>
    <row r="9" spans="1:3">
      <c r="B9" s="1473" t="s">
        <v>1196</v>
      </c>
      <c r="C9" s="1477"/>
    </row>
    <row r="10" spans="1:3">
      <c r="B10" s="1478"/>
      <c r="C10" s="1478"/>
    </row>
    <row r="11" spans="1:3">
      <c r="B11" s="1473" t="s">
        <v>1875</v>
      </c>
      <c r="C11" s="1477"/>
    </row>
    <row r="12" spans="1:3">
      <c r="B12" s="1473" t="s">
        <v>2242</v>
      </c>
      <c r="C12" s="1477"/>
    </row>
    <row r="13" spans="1:3" ht="36">
      <c r="B13" s="1473" t="s">
        <v>1876</v>
      </c>
      <c r="C13" s="1477">
        <v>2019</v>
      </c>
    </row>
    <row r="14" spans="1:3" ht="36">
      <c r="B14" s="1473" t="s">
        <v>1877</v>
      </c>
      <c r="C14" s="1477">
        <v>2023</v>
      </c>
    </row>
    <row r="15" spans="1:3" ht="36">
      <c r="B15" s="1473" t="s">
        <v>1878</v>
      </c>
      <c r="C15" s="1477">
        <v>2024</v>
      </c>
    </row>
    <row r="16" spans="1:3">
      <c r="B16" s="1859" t="s">
        <v>2227</v>
      </c>
      <c r="C16" s="1860"/>
    </row>
    <row r="17" spans="2:3">
      <c r="B17" s="2178" t="s">
        <v>1879</v>
      </c>
      <c r="C17" s="2178"/>
    </row>
    <row r="18" spans="2:3">
      <c r="B18" s="1473" t="s">
        <v>1880</v>
      </c>
      <c r="C18" s="1477"/>
    </row>
    <row r="19" spans="2:3">
      <c r="B19" s="1473" t="s">
        <v>1881</v>
      </c>
      <c r="C19" s="1477"/>
    </row>
    <row r="20" spans="2:3">
      <c r="B20" s="1478"/>
      <c r="C20" s="1478"/>
    </row>
    <row r="21" spans="2:3">
      <c r="B21" s="2178" t="s">
        <v>1882</v>
      </c>
      <c r="C21" s="2178"/>
    </row>
    <row r="22" spans="2:3">
      <c r="B22" s="1473" t="s">
        <v>1883</v>
      </c>
      <c r="C22" s="1480"/>
    </row>
    <row r="23" spans="2:3">
      <c r="B23" s="1473" t="s">
        <v>1884</v>
      </c>
      <c r="C23" s="1479"/>
    </row>
    <row r="24" spans="2:3">
      <c r="B24" s="1478"/>
      <c r="C24" s="1478"/>
    </row>
    <row r="26" spans="2:3" hidden="1" outlineLevel="1">
      <c r="B26" s="2178" t="s">
        <v>1886</v>
      </c>
      <c r="C26" s="2178"/>
    </row>
    <row r="27" spans="2:3" ht="36" hidden="1" outlineLevel="1">
      <c r="B27" s="1473" t="s">
        <v>1887</v>
      </c>
      <c r="C27" s="1480"/>
    </row>
    <row r="28" spans="2:3" ht="36" hidden="1" outlineLevel="1">
      <c r="B28" s="1473" t="s">
        <v>1888</v>
      </c>
      <c r="C28" s="1479"/>
    </row>
    <row r="29" spans="2:3" hidden="1" outlineLevel="1">
      <c r="B29" s="2178" t="s">
        <v>1889</v>
      </c>
      <c r="C29" s="2178"/>
    </row>
    <row r="30" spans="2:3" hidden="1" outlineLevel="1">
      <c r="B30" s="1473" t="s">
        <v>1202</v>
      </c>
      <c r="C30" s="1479"/>
    </row>
    <row r="31" spans="2:3" hidden="1" outlineLevel="1">
      <c r="B31" s="1473" t="s">
        <v>1203</v>
      </c>
      <c r="C31" s="1479"/>
    </row>
    <row r="32" spans="2:3" hidden="1" outlineLevel="1">
      <c r="B32" s="1473" t="s">
        <v>1204</v>
      </c>
      <c r="C32" s="1479"/>
    </row>
    <row r="33" spans="2:3" hidden="1" outlineLevel="1">
      <c r="B33" s="2178" t="s">
        <v>1890</v>
      </c>
      <c r="C33" s="2178"/>
    </row>
    <row r="34" spans="2:3" hidden="1" outlineLevel="1">
      <c r="B34" s="1473" t="s">
        <v>1202</v>
      </c>
      <c r="C34" s="1479"/>
    </row>
    <row r="35" spans="2:3" hidden="1" outlineLevel="1">
      <c r="B35" s="1473" t="s">
        <v>1203</v>
      </c>
      <c r="C35" s="1479"/>
    </row>
    <row r="36" spans="2:3" hidden="1" outlineLevel="1">
      <c r="B36" s="1473" t="s">
        <v>1204</v>
      </c>
      <c r="C36" s="1479"/>
    </row>
    <row r="37" spans="2:3" hidden="1" outlineLevel="1">
      <c r="B37" s="2178" t="s">
        <v>1891</v>
      </c>
      <c r="C37" s="2178"/>
    </row>
    <row r="38" spans="2:3" hidden="1" outlineLevel="1">
      <c r="B38" s="1473" t="s">
        <v>1202</v>
      </c>
      <c r="C38" s="1479"/>
    </row>
    <row r="39" spans="2:3" hidden="1" outlineLevel="1">
      <c r="B39" s="1473" t="s">
        <v>1203</v>
      </c>
      <c r="C39" s="1479"/>
    </row>
    <row r="40" spans="2:3" hidden="1" outlineLevel="1">
      <c r="B40" s="1473" t="s">
        <v>1204</v>
      </c>
      <c r="C40" s="1479"/>
    </row>
    <row r="41" spans="2:3" collapsed="1"/>
  </sheetData>
  <mergeCells count="7">
    <mergeCell ref="B33:C33"/>
    <mergeCell ref="B37:C37"/>
    <mergeCell ref="B2:C2"/>
    <mergeCell ref="B17:C17"/>
    <mergeCell ref="B21:C21"/>
    <mergeCell ref="B26:C26"/>
    <mergeCell ref="B29:C29"/>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topLeftCell="C3" workbookViewId="0">
      <selection activeCell="H29" sqref="H29"/>
    </sheetView>
  </sheetViews>
  <sheetFormatPr defaultRowHeight="12.75"/>
  <cols>
    <col min="1" max="2" width="9.140625" style="209" hidden="1" customWidth="1"/>
    <col min="3" max="3" width="2.7109375" style="209" customWidth="1"/>
    <col min="4" max="4" width="6" style="209" customWidth="1"/>
    <col min="5" max="5" width="51.5703125" style="209" customWidth="1"/>
    <col min="6" max="6" width="13.140625" style="209" customWidth="1"/>
    <col min="7" max="7" width="12.85546875" style="209" customWidth="1"/>
    <col min="8" max="16" width="13.7109375" style="209" customWidth="1"/>
    <col min="17" max="17" width="16.5703125" style="209" customWidth="1"/>
    <col min="18" max="21" width="13.7109375" style="209" customWidth="1"/>
    <col min="22" max="256" width="9.140625" style="209"/>
    <col min="257" max="258" width="0" style="209" hidden="1" customWidth="1"/>
    <col min="259" max="259" width="2.7109375" style="209" customWidth="1"/>
    <col min="260" max="260" width="6" style="209" customWidth="1"/>
    <col min="261" max="261" width="51.5703125" style="209" customWidth="1"/>
    <col min="262" max="262" width="13.140625" style="209" customWidth="1"/>
    <col min="263" max="263" width="12.85546875" style="209" customWidth="1"/>
    <col min="264" max="272" width="13.7109375" style="209" customWidth="1"/>
    <col min="273" max="273" width="16.5703125" style="209" customWidth="1"/>
    <col min="274" max="277" width="13.7109375" style="209" customWidth="1"/>
    <col min="278" max="512" width="9.140625" style="209"/>
    <col min="513" max="514" width="0" style="209" hidden="1" customWidth="1"/>
    <col min="515" max="515" width="2.7109375" style="209" customWidth="1"/>
    <col min="516" max="516" width="6" style="209" customWidth="1"/>
    <col min="517" max="517" width="51.5703125" style="209" customWidth="1"/>
    <col min="518" max="518" width="13.140625" style="209" customWidth="1"/>
    <col min="519" max="519" width="12.85546875" style="209" customWidth="1"/>
    <col min="520" max="528" width="13.7109375" style="209" customWidth="1"/>
    <col min="529" max="529" width="16.5703125" style="209" customWidth="1"/>
    <col min="530" max="533" width="13.7109375" style="209" customWidth="1"/>
    <col min="534" max="768" width="9.140625" style="209"/>
    <col min="769" max="770" width="0" style="209" hidden="1" customWidth="1"/>
    <col min="771" max="771" width="2.7109375" style="209" customWidth="1"/>
    <col min="772" max="772" width="6" style="209" customWidth="1"/>
    <col min="773" max="773" width="51.5703125" style="209" customWidth="1"/>
    <col min="774" max="774" width="13.140625" style="209" customWidth="1"/>
    <col min="775" max="775" width="12.85546875" style="209" customWidth="1"/>
    <col min="776" max="784" width="13.7109375" style="209" customWidth="1"/>
    <col min="785" max="785" width="16.5703125" style="209" customWidth="1"/>
    <col min="786" max="789" width="13.7109375" style="209" customWidth="1"/>
    <col min="790" max="1024" width="9.140625" style="209"/>
    <col min="1025" max="1026" width="0" style="209" hidden="1" customWidth="1"/>
    <col min="1027" max="1027" width="2.7109375" style="209" customWidth="1"/>
    <col min="1028" max="1028" width="6" style="209" customWidth="1"/>
    <col min="1029" max="1029" width="51.5703125" style="209" customWidth="1"/>
    <col min="1030" max="1030" width="13.140625" style="209" customWidth="1"/>
    <col min="1031" max="1031" width="12.85546875" style="209" customWidth="1"/>
    <col min="1032" max="1040" width="13.7109375" style="209" customWidth="1"/>
    <col min="1041" max="1041" width="16.5703125" style="209" customWidth="1"/>
    <col min="1042" max="1045" width="13.7109375" style="209" customWidth="1"/>
    <col min="1046" max="1280" width="9.140625" style="209"/>
    <col min="1281" max="1282" width="0" style="209" hidden="1" customWidth="1"/>
    <col min="1283" max="1283" width="2.7109375" style="209" customWidth="1"/>
    <col min="1284" max="1284" width="6" style="209" customWidth="1"/>
    <col min="1285" max="1285" width="51.5703125" style="209" customWidth="1"/>
    <col min="1286" max="1286" width="13.140625" style="209" customWidth="1"/>
    <col min="1287" max="1287" width="12.85546875" style="209" customWidth="1"/>
    <col min="1288" max="1296" width="13.7109375" style="209" customWidth="1"/>
    <col min="1297" max="1297" width="16.5703125" style="209" customWidth="1"/>
    <col min="1298" max="1301" width="13.7109375" style="209" customWidth="1"/>
    <col min="1302" max="1536" width="9.140625" style="209"/>
    <col min="1537" max="1538" width="0" style="209" hidden="1" customWidth="1"/>
    <col min="1539" max="1539" width="2.7109375" style="209" customWidth="1"/>
    <col min="1540" max="1540" width="6" style="209" customWidth="1"/>
    <col min="1541" max="1541" width="51.5703125" style="209" customWidth="1"/>
    <col min="1542" max="1542" width="13.140625" style="209" customWidth="1"/>
    <col min="1543" max="1543" width="12.85546875" style="209" customWidth="1"/>
    <col min="1544" max="1552" width="13.7109375" style="209" customWidth="1"/>
    <col min="1553" max="1553" width="16.5703125" style="209" customWidth="1"/>
    <col min="1554" max="1557" width="13.7109375" style="209" customWidth="1"/>
    <col min="1558" max="1792" width="9.140625" style="209"/>
    <col min="1793" max="1794" width="0" style="209" hidden="1" customWidth="1"/>
    <col min="1795" max="1795" width="2.7109375" style="209" customWidth="1"/>
    <col min="1796" max="1796" width="6" style="209" customWidth="1"/>
    <col min="1797" max="1797" width="51.5703125" style="209" customWidth="1"/>
    <col min="1798" max="1798" width="13.140625" style="209" customWidth="1"/>
    <col min="1799" max="1799" width="12.85546875" style="209" customWidth="1"/>
    <col min="1800" max="1808" width="13.7109375" style="209" customWidth="1"/>
    <col min="1809" max="1809" width="16.5703125" style="209" customWidth="1"/>
    <col min="1810" max="1813" width="13.7109375" style="209" customWidth="1"/>
    <col min="1814" max="2048" width="9.140625" style="209"/>
    <col min="2049" max="2050" width="0" style="209" hidden="1" customWidth="1"/>
    <col min="2051" max="2051" width="2.7109375" style="209" customWidth="1"/>
    <col min="2052" max="2052" width="6" style="209" customWidth="1"/>
    <col min="2053" max="2053" width="51.5703125" style="209" customWidth="1"/>
    <col min="2054" max="2054" width="13.140625" style="209" customWidth="1"/>
    <col min="2055" max="2055" width="12.85546875" style="209" customWidth="1"/>
    <col min="2056" max="2064" width="13.7109375" style="209" customWidth="1"/>
    <col min="2065" max="2065" width="16.5703125" style="209" customWidth="1"/>
    <col min="2066" max="2069" width="13.7109375" style="209" customWidth="1"/>
    <col min="2070" max="2304" width="9.140625" style="209"/>
    <col min="2305" max="2306" width="0" style="209" hidden="1" customWidth="1"/>
    <col min="2307" max="2307" width="2.7109375" style="209" customWidth="1"/>
    <col min="2308" max="2308" width="6" style="209" customWidth="1"/>
    <col min="2309" max="2309" width="51.5703125" style="209" customWidth="1"/>
    <col min="2310" max="2310" width="13.140625" style="209" customWidth="1"/>
    <col min="2311" max="2311" width="12.85546875" style="209" customWidth="1"/>
    <col min="2312" max="2320" width="13.7109375" style="209" customWidth="1"/>
    <col min="2321" max="2321" width="16.5703125" style="209" customWidth="1"/>
    <col min="2322" max="2325" width="13.7109375" style="209" customWidth="1"/>
    <col min="2326" max="2560" width="9.140625" style="209"/>
    <col min="2561" max="2562" width="0" style="209" hidden="1" customWidth="1"/>
    <col min="2563" max="2563" width="2.7109375" style="209" customWidth="1"/>
    <col min="2564" max="2564" width="6" style="209" customWidth="1"/>
    <col min="2565" max="2565" width="51.5703125" style="209" customWidth="1"/>
    <col min="2566" max="2566" width="13.140625" style="209" customWidth="1"/>
    <col min="2567" max="2567" width="12.85546875" style="209" customWidth="1"/>
    <col min="2568" max="2576" width="13.7109375" style="209" customWidth="1"/>
    <col min="2577" max="2577" width="16.5703125" style="209" customWidth="1"/>
    <col min="2578" max="2581" width="13.7109375" style="209" customWidth="1"/>
    <col min="2582" max="2816" width="9.140625" style="209"/>
    <col min="2817" max="2818" width="0" style="209" hidden="1" customWidth="1"/>
    <col min="2819" max="2819" width="2.7109375" style="209" customWidth="1"/>
    <col min="2820" max="2820" width="6" style="209" customWidth="1"/>
    <col min="2821" max="2821" width="51.5703125" style="209" customWidth="1"/>
    <col min="2822" max="2822" width="13.140625" style="209" customWidth="1"/>
    <col min="2823" max="2823" width="12.85546875" style="209" customWidth="1"/>
    <col min="2824" max="2832" width="13.7109375" style="209" customWidth="1"/>
    <col min="2833" max="2833" width="16.5703125" style="209" customWidth="1"/>
    <col min="2834" max="2837" width="13.7109375" style="209" customWidth="1"/>
    <col min="2838" max="3072" width="9.140625" style="209"/>
    <col min="3073" max="3074" width="0" style="209" hidden="1" customWidth="1"/>
    <col min="3075" max="3075" width="2.7109375" style="209" customWidth="1"/>
    <col min="3076" max="3076" width="6" style="209" customWidth="1"/>
    <col min="3077" max="3077" width="51.5703125" style="209" customWidth="1"/>
    <col min="3078" max="3078" width="13.140625" style="209" customWidth="1"/>
    <col min="3079" max="3079" width="12.85546875" style="209" customWidth="1"/>
    <col min="3080" max="3088" width="13.7109375" style="209" customWidth="1"/>
    <col min="3089" max="3089" width="16.5703125" style="209" customWidth="1"/>
    <col min="3090" max="3093" width="13.7109375" style="209" customWidth="1"/>
    <col min="3094" max="3328" width="9.140625" style="209"/>
    <col min="3329" max="3330" width="0" style="209" hidden="1" customWidth="1"/>
    <col min="3331" max="3331" width="2.7109375" style="209" customWidth="1"/>
    <col min="3332" max="3332" width="6" style="209" customWidth="1"/>
    <col min="3333" max="3333" width="51.5703125" style="209" customWidth="1"/>
    <col min="3334" max="3334" width="13.140625" style="209" customWidth="1"/>
    <col min="3335" max="3335" width="12.85546875" style="209" customWidth="1"/>
    <col min="3336" max="3344" width="13.7109375" style="209" customWidth="1"/>
    <col min="3345" max="3345" width="16.5703125" style="209" customWidth="1"/>
    <col min="3346" max="3349" width="13.7109375" style="209" customWidth="1"/>
    <col min="3350" max="3584" width="9.140625" style="209"/>
    <col min="3585" max="3586" width="0" style="209" hidden="1" customWidth="1"/>
    <col min="3587" max="3587" width="2.7109375" style="209" customWidth="1"/>
    <col min="3588" max="3588" width="6" style="209" customWidth="1"/>
    <col min="3589" max="3589" width="51.5703125" style="209" customWidth="1"/>
    <col min="3590" max="3590" width="13.140625" style="209" customWidth="1"/>
    <col min="3591" max="3591" width="12.85546875" style="209" customWidth="1"/>
    <col min="3592" max="3600" width="13.7109375" style="209" customWidth="1"/>
    <col min="3601" max="3601" width="16.5703125" style="209" customWidth="1"/>
    <col min="3602" max="3605" width="13.7109375" style="209" customWidth="1"/>
    <col min="3606" max="3840" width="9.140625" style="209"/>
    <col min="3841" max="3842" width="0" style="209" hidden="1" customWidth="1"/>
    <col min="3843" max="3843" width="2.7109375" style="209" customWidth="1"/>
    <col min="3844" max="3844" width="6" style="209" customWidth="1"/>
    <col min="3845" max="3845" width="51.5703125" style="209" customWidth="1"/>
    <col min="3846" max="3846" width="13.140625" style="209" customWidth="1"/>
    <col min="3847" max="3847" width="12.85546875" style="209" customWidth="1"/>
    <col min="3848" max="3856" width="13.7109375" style="209" customWidth="1"/>
    <col min="3857" max="3857" width="16.5703125" style="209" customWidth="1"/>
    <col min="3858" max="3861" width="13.7109375" style="209" customWidth="1"/>
    <col min="3862" max="4096" width="9.140625" style="209"/>
    <col min="4097" max="4098" width="0" style="209" hidden="1" customWidth="1"/>
    <col min="4099" max="4099" width="2.7109375" style="209" customWidth="1"/>
    <col min="4100" max="4100" width="6" style="209" customWidth="1"/>
    <col min="4101" max="4101" width="51.5703125" style="209" customWidth="1"/>
    <col min="4102" max="4102" width="13.140625" style="209" customWidth="1"/>
    <col min="4103" max="4103" width="12.85546875" style="209" customWidth="1"/>
    <col min="4104" max="4112" width="13.7109375" style="209" customWidth="1"/>
    <col min="4113" max="4113" width="16.5703125" style="209" customWidth="1"/>
    <col min="4114" max="4117" width="13.7109375" style="209" customWidth="1"/>
    <col min="4118" max="4352" width="9.140625" style="209"/>
    <col min="4353" max="4354" width="0" style="209" hidden="1" customWidth="1"/>
    <col min="4355" max="4355" width="2.7109375" style="209" customWidth="1"/>
    <col min="4356" max="4356" width="6" style="209" customWidth="1"/>
    <col min="4357" max="4357" width="51.5703125" style="209" customWidth="1"/>
    <col min="4358" max="4358" width="13.140625" style="209" customWidth="1"/>
    <col min="4359" max="4359" width="12.85546875" style="209" customWidth="1"/>
    <col min="4360" max="4368" width="13.7109375" style="209" customWidth="1"/>
    <col min="4369" max="4369" width="16.5703125" style="209" customWidth="1"/>
    <col min="4370" max="4373" width="13.7109375" style="209" customWidth="1"/>
    <col min="4374" max="4608" width="9.140625" style="209"/>
    <col min="4609" max="4610" width="0" style="209" hidden="1" customWidth="1"/>
    <col min="4611" max="4611" width="2.7109375" style="209" customWidth="1"/>
    <col min="4612" max="4612" width="6" style="209" customWidth="1"/>
    <col min="4613" max="4613" width="51.5703125" style="209" customWidth="1"/>
    <col min="4614" max="4614" width="13.140625" style="209" customWidth="1"/>
    <col min="4615" max="4615" width="12.85546875" style="209" customWidth="1"/>
    <col min="4616" max="4624" width="13.7109375" style="209" customWidth="1"/>
    <col min="4625" max="4625" width="16.5703125" style="209" customWidth="1"/>
    <col min="4626" max="4629" width="13.7109375" style="209" customWidth="1"/>
    <col min="4630" max="4864" width="9.140625" style="209"/>
    <col min="4865" max="4866" width="0" style="209" hidden="1" customWidth="1"/>
    <col min="4867" max="4867" width="2.7109375" style="209" customWidth="1"/>
    <col min="4868" max="4868" width="6" style="209" customWidth="1"/>
    <col min="4869" max="4869" width="51.5703125" style="209" customWidth="1"/>
    <col min="4870" max="4870" width="13.140625" style="209" customWidth="1"/>
    <col min="4871" max="4871" width="12.85546875" style="209" customWidth="1"/>
    <col min="4872" max="4880" width="13.7109375" style="209" customWidth="1"/>
    <col min="4881" max="4881" width="16.5703125" style="209" customWidth="1"/>
    <col min="4882" max="4885" width="13.7109375" style="209" customWidth="1"/>
    <col min="4886" max="5120" width="9.140625" style="209"/>
    <col min="5121" max="5122" width="0" style="209" hidden="1" customWidth="1"/>
    <col min="5123" max="5123" width="2.7109375" style="209" customWidth="1"/>
    <col min="5124" max="5124" width="6" style="209" customWidth="1"/>
    <col min="5125" max="5125" width="51.5703125" style="209" customWidth="1"/>
    <col min="5126" max="5126" width="13.140625" style="209" customWidth="1"/>
    <col min="5127" max="5127" width="12.85546875" style="209" customWidth="1"/>
    <col min="5128" max="5136" width="13.7109375" style="209" customWidth="1"/>
    <col min="5137" max="5137" width="16.5703125" style="209" customWidth="1"/>
    <col min="5138" max="5141" width="13.7109375" style="209" customWidth="1"/>
    <col min="5142" max="5376" width="9.140625" style="209"/>
    <col min="5377" max="5378" width="0" style="209" hidden="1" customWidth="1"/>
    <col min="5379" max="5379" width="2.7109375" style="209" customWidth="1"/>
    <col min="5380" max="5380" width="6" style="209" customWidth="1"/>
    <col min="5381" max="5381" width="51.5703125" style="209" customWidth="1"/>
    <col min="5382" max="5382" width="13.140625" style="209" customWidth="1"/>
    <col min="5383" max="5383" width="12.85546875" style="209" customWidth="1"/>
    <col min="5384" max="5392" width="13.7109375" style="209" customWidth="1"/>
    <col min="5393" max="5393" width="16.5703125" style="209" customWidth="1"/>
    <col min="5394" max="5397" width="13.7109375" style="209" customWidth="1"/>
    <col min="5398" max="5632" width="9.140625" style="209"/>
    <col min="5633" max="5634" width="0" style="209" hidden="1" customWidth="1"/>
    <col min="5635" max="5635" width="2.7109375" style="209" customWidth="1"/>
    <col min="5636" max="5636" width="6" style="209" customWidth="1"/>
    <col min="5637" max="5637" width="51.5703125" style="209" customWidth="1"/>
    <col min="5638" max="5638" width="13.140625" style="209" customWidth="1"/>
    <col min="5639" max="5639" width="12.85546875" style="209" customWidth="1"/>
    <col min="5640" max="5648" width="13.7109375" style="209" customWidth="1"/>
    <col min="5649" max="5649" width="16.5703125" style="209" customWidth="1"/>
    <col min="5650" max="5653" width="13.7109375" style="209" customWidth="1"/>
    <col min="5654" max="5888" width="9.140625" style="209"/>
    <col min="5889" max="5890" width="0" style="209" hidden="1" customWidth="1"/>
    <col min="5891" max="5891" width="2.7109375" style="209" customWidth="1"/>
    <col min="5892" max="5892" width="6" style="209" customWidth="1"/>
    <col min="5893" max="5893" width="51.5703125" style="209" customWidth="1"/>
    <col min="5894" max="5894" width="13.140625" style="209" customWidth="1"/>
    <col min="5895" max="5895" width="12.85546875" style="209" customWidth="1"/>
    <col min="5896" max="5904" width="13.7109375" style="209" customWidth="1"/>
    <col min="5905" max="5905" width="16.5703125" style="209" customWidth="1"/>
    <col min="5906" max="5909" width="13.7109375" style="209" customWidth="1"/>
    <col min="5910" max="6144" width="9.140625" style="209"/>
    <col min="6145" max="6146" width="0" style="209" hidden="1" customWidth="1"/>
    <col min="6147" max="6147" width="2.7109375" style="209" customWidth="1"/>
    <col min="6148" max="6148" width="6" style="209" customWidth="1"/>
    <col min="6149" max="6149" width="51.5703125" style="209" customWidth="1"/>
    <col min="6150" max="6150" width="13.140625" style="209" customWidth="1"/>
    <col min="6151" max="6151" width="12.85546875" style="209" customWidth="1"/>
    <col min="6152" max="6160" width="13.7109375" style="209" customWidth="1"/>
    <col min="6161" max="6161" width="16.5703125" style="209" customWidth="1"/>
    <col min="6162" max="6165" width="13.7109375" style="209" customWidth="1"/>
    <col min="6166" max="6400" width="9.140625" style="209"/>
    <col min="6401" max="6402" width="0" style="209" hidden="1" customWidth="1"/>
    <col min="6403" max="6403" width="2.7109375" style="209" customWidth="1"/>
    <col min="6404" max="6404" width="6" style="209" customWidth="1"/>
    <col min="6405" max="6405" width="51.5703125" style="209" customWidth="1"/>
    <col min="6406" max="6406" width="13.140625" style="209" customWidth="1"/>
    <col min="6407" max="6407" width="12.85546875" style="209" customWidth="1"/>
    <col min="6408" max="6416" width="13.7109375" style="209" customWidth="1"/>
    <col min="6417" max="6417" width="16.5703125" style="209" customWidth="1"/>
    <col min="6418" max="6421" width="13.7109375" style="209" customWidth="1"/>
    <col min="6422" max="6656" width="9.140625" style="209"/>
    <col min="6657" max="6658" width="0" style="209" hidden="1" customWidth="1"/>
    <col min="6659" max="6659" width="2.7109375" style="209" customWidth="1"/>
    <col min="6660" max="6660" width="6" style="209" customWidth="1"/>
    <col min="6661" max="6661" width="51.5703125" style="209" customWidth="1"/>
    <col min="6662" max="6662" width="13.140625" style="209" customWidth="1"/>
    <col min="6663" max="6663" width="12.85546875" style="209" customWidth="1"/>
    <col min="6664" max="6672" width="13.7109375" style="209" customWidth="1"/>
    <col min="6673" max="6673" width="16.5703125" style="209" customWidth="1"/>
    <col min="6674" max="6677" width="13.7109375" style="209" customWidth="1"/>
    <col min="6678" max="6912" width="9.140625" style="209"/>
    <col min="6913" max="6914" width="0" style="209" hidden="1" customWidth="1"/>
    <col min="6915" max="6915" width="2.7109375" style="209" customWidth="1"/>
    <col min="6916" max="6916" width="6" style="209" customWidth="1"/>
    <col min="6917" max="6917" width="51.5703125" style="209" customWidth="1"/>
    <col min="6918" max="6918" width="13.140625" style="209" customWidth="1"/>
    <col min="6919" max="6919" width="12.85546875" style="209" customWidth="1"/>
    <col min="6920" max="6928" width="13.7109375" style="209" customWidth="1"/>
    <col min="6929" max="6929" width="16.5703125" style="209" customWidth="1"/>
    <col min="6930" max="6933" width="13.7109375" style="209" customWidth="1"/>
    <col min="6934" max="7168" width="9.140625" style="209"/>
    <col min="7169" max="7170" width="0" style="209" hidden="1" customWidth="1"/>
    <col min="7171" max="7171" width="2.7109375" style="209" customWidth="1"/>
    <col min="7172" max="7172" width="6" style="209" customWidth="1"/>
    <col min="7173" max="7173" width="51.5703125" style="209" customWidth="1"/>
    <col min="7174" max="7174" width="13.140625" style="209" customWidth="1"/>
    <col min="7175" max="7175" width="12.85546875" style="209" customWidth="1"/>
    <col min="7176" max="7184" width="13.7109375" style="209" customWidth="1"/>
    <col min="7185" max="7185" width="16.5703125" style="209" customWidth="1"/>
    <col min="7186" max="7189" width="13.7109375" style="209" customWidth="1"/>
    <col min="7190" max="7424" width="9.140625" style="209"/>
    <col min="7425" max="7426" width="0" style="209" hidden="1" customWidth="1"/>
    <col min="7427" max="7427" width="2.7109375" style="209" customWidth="1"/>
    <col min="7428" max="7428" width="6" style="209" customWidth="1"/>
    <col min="7429" max="7429" width="51.5703125" style="209" customWidth="1"/>
    <col min="7430" max="7430" width="13.140625" style="209" customWidth="1"/>
    <col min="7431" max="7431" width="12.85546875" style="209" customWidth="1"/>
    <col min="7432" max="7440" width="13.7109375" style="209" customWidth="1"/>
    <col min="7441" max="7441" width="16.5703125" style="209" customWidth="1"/>
    <col min="7442" max="7445" width="13.7109375" style="209" customWidth="1"/>
    <col min="7446" max="7680" width="9.140625" style="209"/>
    <col min="7681" max="7682" width="0" style="209" hidden="1" customWidth="1"/>
    <col min="7683" max="7683" width="2.7109375" style="209" customWidth="1"/>
    <col min="7684" max="7684" width="6" style="209" customWidth="1"/>
    <col min="7685" max="7685" width="51.5703125" style="209" customWidth="1"/>
    <col min="7686" max="7686" width="13.140625" style="209" customWidth="1"/>
    <col min="7687" max="7687" width="12.85546875" style="209" customWidth="1"/>
    <col min="7688" max="7696" width="13.7109375" style="209" customWidth="1"/>
    <col min="7697" max="7697" width="16.5703125" style="209" customWidth="1"/>
    <col min="7698" max="7701" width="13.7109375" style="209" customWidth="1"/>
    <col min="7702" max="7936" width="9.140625" style="209"/>
    <col min="7937" max="7938" width="0" style="209" hidden="1" customWidth="1"/>
    <col min="7939" max="7939" width="2.7109375" style="209" customWidth="1"/>
    <col min="7940" max="7940" width="6" style="209" customWidth="1"/>
    <col min="7941" max="7941" width="51.5703125" style="209" customWidth="1"/>
    <col min="7942" max="7942" width="13.140625" style="209" customWidth="1"/>
    <col min="7943" max="7943" width="12.85546875" style="209" customWidth="1"/>
    <col min="7944" max="7952" width="13.7109375" style="209" customWidth="1"/>
    <col min="7953" max="7953" width="16.5703125" style="209" customWidth="1"/>
    <col min="7954" max="7957" width="13.7109375" style="209" customWidth="1"/>
    <col min="7958" max="8192" width="9.140625" style="209"/>
    <col min="8193" max="8194" width="0" style="209" hidden="1" customWidth="1"/>
    <col min="8195" max="8195" width="2.7109375" style="209" customWidth="1"/>
    <col min="8196" max="8196" width="6" style="209" customWidth="1"/>
    <col min="8197" max="8197" width="51.5703125" style="209" customWidth="1"/>
    <col min="8198" max="8198" width="13.140625" style="209" customWidth="1"/>
    <col min="8199" max="8199" width="12.85546875" style="209" customWidth="1"/>
    <col min="8200" max="8208" width="13.7109375" style="209" customWidth="1"/>
    <col min="8209" max="8209" width="16.5703125" style="209" customWidth="1"/>
    <col min="8210" max="8213" width="13.7109375" style="209" customWidth="1"/>
    <col min="8214" max="8448" width="9.140625" style="209"/>
    <col min="8449" max="8450" width="0" style="209" hidden="1" customWidth="1"/>
    <col min="8451" max="8451" width="2.7109375" style="209" customWidth="1"/>
    <col min="8452" max="8452" width="6" style="209" customWidth="1"/>
    <col min="8453" max="8453" width="51.5703125" style="209" customWidth="1"/>
    <col min="8454" max="8454" width="13.140625" style="209" customWidth="1"/>
    <col min="8455" max="8455" width="12.85546875" style="209" customWidth="1"/>
    <col min="8456" max="8464" width="13.7109375" style="209" customWidth="1"/>
    <col min="8465" max="8465" width="16.5703125" style="209" customWidth="1"/>
    <col min="8466" max="8469" width="13.7109375" style="209" customWidth="1"/>
    <col min="8470" max="8704" width="9.140625" style="209"/>
    <col min="8705" max="8706" width="0" style="209" hidden="1" customWidth="1"/>
    <col min="8707" max="8707" width="2.7109375" style="209" customWidth="1"/>
    <col min="8708" max="8708" width="6" style="209" customWidth="1"/>
    <col min="8709" max="8709" width="51.5703125" style="209" customWidth="1"/>
    <col min="8710" max="8710" width="13.140625" style="209" customWidth="1"/>
    <col min="8711" max="8711" width="12.85546875" style="209" customWidth="1"/>
    <col min="8712" max="8720" width="13.7109375" style="209" customWidth="1"/>
    <col min="8721" max="8721" width="16.5703125" style="209" customWidth="1"/>
    <col min="8722" max="8725" width="13.7109375" style="209" customWidth="1"/>
    <col min="8726" max="8960" width="9.140625" style="209"/>
    <col min="8961" max="8962" width="0" style="209" hidden="1" customWidth="1"/>
    <col min="8963" max="8963" width="2.7109375" style="209" customWidth="1"/>
    <col min="8964" max="8964" width="6" style="209" customWidth="1"/>
    <col min="8965" max="8965" width="51.5703125" style="209" customWidth="1"/>
    <col min="8966" max="8966" width="13.140625" style="209" customWidth="1"/>
    <col min="8967" max="8967" width="12.85546875" style="209" customWidth="1"/>
    <col min="8968" max="8976" width="13.7109375" style="209" customWidth="1"/>
    <col min="8977" max="8977" width="16.5703125" style="209" customWidth="1"/>
    <col min="8978" max="8981" width="13.7109375" style="209" customWidth="1"/>
    <col min="8982" max="9216" width="9.140625" style="209"/>
    <col min="9217" max="9218" width="0" style="209" hidden="1" customWidth="1"/>
    <col min="9219" max="9219" width="2.7109375" style="209" customWidth="1"/>
    <col min="9220" max="9220" width="6" style="209" customWidth="1"/>
    <col min="9221" max="9221" width="51.5703125" style="209" customWidth="1"/>
    <col min="9222" max="9222" width="13.140625" style="209" customWidth="1"/>
    <col min="9223" max="9223" width="12.85546875" style="209" customWidth="1"/>
    <col min="9224" max="9232" width="13.7109375" style="209" customWidth="1"/>
    <col min="9233" max="9233" width="16.5703125" style="209" customWidth="1"/>
    <col min="9234" max="9237" width="13.7109375" style="209" customWidth="1"/>
    <col min="9238" max="9472" width="9.140625" style="209"/>
    <col min="9473" max="9474" width="0" style="209" hidden="1" customWidth="1"/>
    <col min="9475" max="9475" width="2.7109375" style="209" customWidth="1"/>
    <col min="9476" max="9476" width="6" style="209" customWidth="1"/>
    <col min="9477" max="9477" width="51.5703125" style="209" customWidth="1"/>
    <col min="9478" max="9478" width="13.140625" style="209" customWidth="1"/>
    <col min="9479" max="9479" width="12.85546875" style="209" customWidth="1"/>
    <col min="9480" max="9488" width="13.7109375" style="209" customWidth="1"/>
    <col min="9489" max="9489" width="16.5703125" style="209" customWidth="1"/>
    <col min="9490" max="9493" width="13.7109375" style="209" customWidth="1"/>
    <col min="9494" max="9728" width="9.140625" style="209"/>
    <col min="9729" max="9730" width="0" style="209" hidden="1" customWidth="1"/>
    <col min="9731" max="9731" width="2.7109375" style="209" customWidth="1"/>
    <col min="9732" max="9732" width="6" style="209" customWidth="1"/>
    <col min="9733" max="9733" width="51.5703125" style="209" customWidth="1"/>
    <col min="9734" max="9734" width="13.140625" style="209" customWidth="1"/>
    <col min="9735" max="9735" width="12.85546875" style="209" customWidth="1"/>
    <col min="9736" max="9744" width="13.7109375" style="209" customWidth="1"/>
    <col min="9745" max="9745" width="16.5703125" style="209" customWidth="1"/>
    <col min="9746" max="9749" width="13.7109375" style="209" customWidth="1"/>
    <col min="9750" max="9984" width="9.140625" style="209"/>
    <col min="9985" max="9986" width="0" style="209" hidden="1" customWidth="1"/>
    <col min="9987" max="9987" width="2.7109375" style="209" customWidth="1"/>
    <col min="9988" max="9988" width="6" style="209" customWidth="1"/>
    <col min="9989" max="9989" width="51.5703125" style="209" customWidth="1"/>
    <col min="9990" max="9990" width="13.140625" style="209" customWidth="1"/>
    <col min="9991" max="9991" width="12.85546875" style="209" customWidth="1"/>
    <col min="9992" max="10000" width="13.7109375" style="209" customWidth="1"/>
    <col min="10001" max="10001" width="16.5703125" style="209" customWidth="1"/>
    <col min="10002" max="10005" width="13.7109375" style="209" customWidth="1"/>
    <col min="10006" max="10240" width="9.140625" style="209"/>
    <col min="10241" max="10242" width="0" style="209" hidden="1" customWidth="1"/>
    <col min="10243" max="10243" width="2.7109375" style="209" customWidth="1"/>
    <col min="10244" max="10244" width="6" style="209" customWidth="1"/>
    <col min="10245" max="10245" width="51.5703125" style="209" customWidth="1"/>
    <col min="10246" max="10246" width="13.140625" style="209" customWidth="1"/>
    <col min="10247" max="10247" width="12.85546875" style="209" customWidth="1"/>
    <col min="10248" max="10256" width="13.7109375" style="209" customWidth="1"/>
    <col min="10257" max="10257" width="16.5703125" style="209" customWidth="1"/>
    <col min="10258" max="10261" width="13.7109375" style="209" customWidth="1"/>
    <col min="10262" max="10496" width="9.140625" style="209"/>
    <col min="10497" max="10498" width="0" style="209" hidden="1" customWidth="1"/>
    <col min="10499" max="10499" width="2.7109375" style="209" customWidth="1"/>
    <col min="10500" max="10500" width="6" style="209" customWidth="1"/>
    <col min="10501" max="10501" width="51.5703125" style="209" customWidth="1"/>
    <col min="10502" max="10502" width="13.140625" style="209" customWidth="1"/>
    <col min="10503" max="10503" width="12.85546875" style="209" customWidth="1"/>
    <col min="10504" max="10512" width="13.7109375" style="209" customWidth="1"/>
    <col min="10513" max="10513" width="16.5703125" style="209" customWidth="1"/>
    <col min="10514" max="10517" width="13.7109375" style="209" customWidth="1"/>
    <col min="10518" max="10752" width="9.140625" style="209"/>
    <col min="10753" max="10754" width="0" style="209" hidden="1" customWidth="1"/>
    <col min="10755" max="10755" width="2.7109375" style="209" customWidth="1"/>
    <col min="10756" max="10756" width="6" style="209" customWidth="1"/>
    <col min="10757" max="10757" width="51.5703125" style="209" customWidth="1"/>
    <col min="10758" max="10758" width="13.140625" style="209" customWidth="1"/>
    <col min="10759" max="10759" width="12.85546875" style="209" customWidth="1"/>
    <col min="10760" max="10768" width="13.7109375" style="209" customWidth="1"/>
    <col min="10769" max="10769" width="16.5703125" style="209" customWidth="1"/>
    <col min="10770" max="10773" width="13.7109375" style="209" customWidth="1"/>
    <col min="10774" max="11008" width="9.140625" style="209"/>
    <col min="11009" max="11010" width="0" style="209" hidden="1" customWidth="1"/>
    <col min="11011" max="11011" width="2.7109375" style="209" customWidth="1"/>
    <col min="11012" max="11012" width="6" style="209" customWidth="1"/>
    <col min="11013" max="11013" width="51.5703125" style="209" customWidth="1"/>
    <col min="11014" max="11014" width="13.140625" style="209" customWidth="1"/>
    <col min="11015" max="11015" width="12.85546875" style="209" customWidth="1"/>
    <col min="11016" max="11024" width="13.7109375" style="209" customWidth="1"/>
    <col min="11025" max="11025" width="16.5703125" style="209" customWidth="1"/>
    <col min="11026" max="11029" width="13.7109375" style="209" customWidth="1"/>
    <col min="11030" max="11264" width="9.140625" style="209"/>
    <col min="11265" max="11266" width="0" style="209" hidden="1" customWidth="1"/>
    <col min="11267" max="11267" width="2.7109375" style="209" customWidth="1"/>
    <col min="11268" max="11268" width="6" style="209" customWidth="1"/>
    <col min="11269" max="11269" width="51.5703125" style="209" customWidth="1"/>
    <col min="11270" max="11270" width="13.140625" style="209" customWidth="1"/>
    <col min="11271" max="11271" width="12.85546875" style="209" customWidth="1"/>
    <col min="11272" max="11280" width="13.7109375" style="209" customWidth="1"/>
    <col min="11281" max="11281" width="16.5703125" style="209" customWidth="1"/>
    <col min="11282" max="11285" width="13.7109375" style="209" customWidth="1"/>
    <col min="11286" max="11520" width="9.140625" style="209"/>
    <col min="11521" max="11522" width="0" style="209" hidden="1" customWidth="1"/>
    <col min="11523" max="11523" width="2.7109375" style="209" customWidth="1"/>
    <col min="11524" max="11524" width="6" style="209" customWidth="1"/>
    <col min="11525" max="11525" width="51.5703125" style="209" customWidth="1"/>
    <col min="11526" max="11526" width="13.140625" style="209" customWidth="1"/>
    <col min="11527" max="11527" width="12.85546875" style="209" customWidth="1"/>
    <col min="11528" max="11536" width="13.7109375" style="209" customWidth="1"/>
    <col min="11537" max="11537" width="16.5703125" style="209" customWidth="1"/>
    <col min="11538" max="11541" width="13.7109375" style="209" customWidth="1"/>
    <col min="11542" max="11776" width="9.140625" style="209"/>
    <col min="11777" max="11778" width="0" style="209" hidden="1" customWidth="1"/>
    <col min="11779" max="11779" width="2.7109375" style="209" customWidth="1"/>
    <col min="11780" max="11780" width="6" style="209" customWidth="1"/>
    <col min="11781" max="11781" width="51.5703125" style="209" customWidth="1"/>
    <col min="11782" max="11782" width="13.140625" style="209" customWidth="1"/>
    <col min="11783" max="11783" width="12.85546875" style="209" customWidth="1"/>
    <col min="11784" max="11792" width="13.7109375" style="209" customWidth="1"/>
    <col min="11793" max="11793" width="16.5703125" style="209" customWidth="1"/>
    <col min="11794" max="11797" width="13.7109375" style="209" customWidth="1"/>
    <col min="11798" max="12032" width="9.140625" style="209"/>
    <col min="12033" max="12034" width="0" style="209" hidden="1" customWidth="1"/>
    <col min="12035" max="12035" width="2.7109375" style="209" customWidth="1"/>
    <col min="12036" max="12036" width="6" style="209" customWidth="1"/>
    <col min="12037" max="12037" width="51.5703125" style="209" customWidth="1"/>
    <col min="12038" max="12038" width="13.140625" style="209" customWidth="1"/>
    <col min="12039" max="12039" width="12.85546875" style="209" customWidth="1"/>
    <col min="12040" max="12048" width="13.7109375" style="209" customWidth="1"/>
    <col min="12049" max="12049" width="16.5703125" style="209" customWidth="1"/>
    <col min="12050" max="12053" width="13.7109375" style="209" customWidth="1"/>
    <col min="12054" max="12288" width="9.140625" style="209"/>
    <col min="12289" max="12290" width="0" style="209" hidden="1" customWidth="1"/>
    <col min="12291" max="12291" width="2.7109375" style="209" customWidth="1"/>
    <col min="12292" max="12292" width="6" style="209" customWidth="1"/>
    <col min="12293" max="12293" width="51.5703125" style="209" customWidth="1"/>
    <col min="12294" max="12294" width="13.140625" style="209" customWidth="1"/>
    <col min="12295" max="12295" width="12.85546875" style="209" customWidth="1"/>
    <col min="12296" max="12304" width="13.7109375" style="209" customWidth="1"/>
    <col min="12305" max="12305" width="16.5703125" style="209" customWidth="1"/>
    <col min="12306" max="12309" width="13.7109375" style="209" customWidth="1"/>
    <col min="12310" max="12544" width="9.140625" style="209"/>
    <col min="12545" max="12546" width="0" style="209" hidden="1" customWidth="1"/>
    <col min="12547" max="12547" width="2.7109375" style="209" customWidth="1"/>
    <col min="12548" max="12548" width="6" style="209" customWidth="1"/>
    <col min="12549" max="12549" width="51.5703125" style="209" customWidth="1"/>
    <col min="12550" max="12550" width="13.140625" style="209" customWidth="1"/>
    <col min="12551" max="12551" width="12.85546875" style="209" customWidth="1"/>
    <col min="12552" max="12560" width="13.7109375" style="209" customWidth="1"/>
    <col min="12561" max="12561" width="16.5703125" style="209" customWidth="1"/>
    <col min="12562" max="12565" width="13.7109375" style="209" customWidth="1"/>
    <col min="12566" max="12800" width="9.140625" style="209"/>
    <col min="12801" max="12802" width="0" style="209" hidden="1" customWidth="1"/>
    <col min="12803" max="12803" width="2.7109375" style="209" customWidth="1"/>
    <col min="12804" max="12804" width="6" style="209" customWidth="1"/>
    <col min="12805" max="12805" width="51.5703125" style="209" customWidth="1"/>
    <col min="12806" max="12806" width="13.140625" style="209" customWidth="1"/>
    <col min="12807" max="12807" width="12.85546875" style="209" customWidth="1"/>
    <col min="12808" max="12816" width="13.7109375" style="209" customWidth="1"/>
    <col min="12817" max="12817" width="16.5703125" style="209" customWidth="1"/>
    <col min="12818" max="12821" width="13.7109375" style="209" customWidth="1"/>
    <col min="12822" max="13056" width="9.140625" style="209"/>
    <col min="13057" max="13058" width="0" style="209" hidden="1" customWidth="1"/>
    <col min="13059" max="13059" width="2.7109375" style="209" customWidth="1"/>
    <col min="13060" max="13060" width="6" style="209" customWidth="1"/>
    <col min="13061" max="13061" width="51.5703125" style="209" customWidth="1"/>
    <col min="13062" max="13062" width="13.140625" style="209" customWidth="1"/>
    <col min="13063" max="13063" width="12.85546875" style="209" customWidth="1"/>
    <col min="13064" max="13072" width="13.7109375" style="209" customWidth="1"/>
    <col min="13073" max="13073" width="16.5703125" style="209" customWidth="1"/>
    <col min="13074" max="13077" width="13.7109375" style="209" customWidth="1"/>
    <col min="13078" max="13312" width="9.140625" style="209"/>
    <col min="13313" max="13314" width="0" style="209" hidden="1" customWidth="1"/>
    <col min="13315" max="13315" width="2.7109375" style="209" customWidth="1"/>
    <col min="13316" max="13316" width="6" style="209" customWidth="1"/>
    <col min="13317" max="13317" width="51.5703125" style="209" customWidth="1"/>
    <col min="13318" max="13318" width="13.140625" style="209" customWidth="1"/>
    <col min="13319" max="13319" width="12.85546875" style="209" customWidth="1"/>
    <col min="13320" max="13328" width="13.7109375" style="209" customWidth="1"/>
    <col min="13329" max="13329" width="16.5703125" style="209" customWidth="1"/>
    <col min="13330" max="13333" width="13.7109375" style="209" customWidth="1"/>
    <col min="13334" max="13568" width="9.140625" style="209"/>
    <col min="13569" max="13570" width="0" style="209" hidden="1" customWidth="1"/>
    <col min="13571" max="13571" width="2.7109375" style="209" customWidth="1"/>
    <col min="13572" max="13572" width="6" style="209" customWidth="1"/>
    <col min="13573" max="13573" width="51.5703125" style="209" customWidth="1"/>
    <col min="13574" max="13574" width="13.140625" style="209" customWidth="1"/>
    <col min="13575" max="13575" width="12.85546875" style="209" customWidth="1"/>
    <col min="13576" max="13584" width="13.7109375" style="209" customWidth="1"/>
    <col min="13585" max="13585" width="16.5703125" style="209" customWidth="1"/>
    <col min="13586" max="13589" width="13.7109375" style="209" customWidth="1"/>
    <col min="13590" max="13824" width="9.140625" style="209"/>
    <col min="13825" max="13826" width="0" style="209" hidden="1" customWidth="1"/>
    <col min="13827" max="13827" width="2.7109375" style="209" customWidth="1"/>
    <col min="13828" max="13828" width="6" style="209" customWidth="1"/>
    <col min="13829" max="13829" width="51.5703125" style="209" customWidth="1"/>
    <col min="13830" max="13830" width="13.140625" style="209" customWidth="1"/>
    <col min="13831" max="13831" width="12.85546875" style="209" customWidth="1"/>
    <col min="13832" max="13840" width="13.7109375" style="209" customWidth="1"/>
    <col min="13841" max="13841" width="16.5703125" style="209" customWidth="1"/>
    <col min="13842" max="13845" width="13.7109375" style="209" customWidth="1"/>
    <col min="13846" max="14080" width="9.140625" style="209"/>
    <col min="14081" max="14082" width="0" style="209" hidden="1" customWidth="1"/>
    <col min="14083" max="14083" width="2.7109375" style="209" customWidth="1"/>
    <col min="14084" max="14084" width="6" style="209" customWidth="1"/>
    <col min="14085" max="14085" width="51.5703125" style="209" customWidth="1"/>
    <col min="14086" max="14086" width="13.140625" style="209" customWidth="1"/>
    <col min="14087" max="14087" width="12.85546875" style="209" customWidth="1"/>
    <col min="14088" max="14096" width="13.7109375" style="209" customWidth="1"/>
    <col min="14097" max="14097" width="16.5703125" style="209" customWidth="1"/>
    <col min="14098" max="14101" width="13.7109375" style="209" customWidth="1"/>
    <col min="14102" max="14336" width="9.140625" style="209"/>
    <col min="14337" max="14338" width="0" style="209" hidden="1" customWidth="1"/>
    <col min="14339" max="14339" width="2.7109375" style="209" customWidth="1"/>
    <col min="14340" max="14340" width="6" style="209" customWidth="1"/>
    <col min="14341" max="14341" width="51.5703125" style="209" customWidth="1"/>
    <col min="14342" max="14342" width="13.140625" style="209" customWidth="1"/>
    <col min="14343" max="14343" width="12.85546875" style="209" customWidth="1"/>
    <col min="14344" max="14352" width="13.7109375" style="209" customWidth="1"/>
    <col min="14353" max="14353" width="16.5703125" style="209" customWidth="1"/>
    <col min="14354" max="14357" width="13.7109375" style="209" customWidth="1"/>
    <col min="14358" max="14592" width="9.140625" style="209"/>
    <col min="14593" max="14594" width="0" style="209" hidden="1" customWidth="1"/>
    <col min="14595" max="14595" width="2.7109375" style="209" customWidth="1"/>
    <col min="14596" max="14596" width="6" style="209" customWidth="1"/>
    <col min="14597" max="14597" width="51.5703125" style="209" customWidth="1"/>
    <col min="14598" max="14598" width="13.140625" style="209" customWidth="1"/>
    <col min="14599" max="14599" width="12.85546875" style="209" customWidth="1"/>
    <col min="14600" max="14608" width="13.7109375" style="209" customWidth="1"/>
    <col min="14609" max="14609" width="16.5703125" style="209" customWidth="1"/>
    <col min="14610" max="14613" width="13.7109375" style="209" customWidth="1"/>
    <col min="14614" max="14848" width="9.140625" style="209"/>
    <col min="14849" max="14850" width="0" style="209" hidden="1" customWidth="1"/>
    <col min="14851" max="14851" width="2.7109375" style="209" customWidth="1"/>
    <col min="14852" max="14852" width="6" style="209" customWidth="1"/>
    <col min="14853" max="14853" width="51.5703125" style="209" customWidth="1"/>
    <col min="14854" max="14854" width="13.140625" style="209" customWidth="1"/>
    <col min="14855" max="14855" width="12.85546875" style="209" customWidth="1"/>
    <col min="14856" max="14864" width="13.7109375" style="209" customWidth="1"/>
    <col min="14865" max="14865" width="16.5703125" style="209" customWidth="1"/>
    <col min="14866" max="14869" width="13.7109375" style="209" customWidth="1"/>
    <col min="14870" max="15104" width="9.140625" style="209"/>
    <col min="15105" max="15106" width="0" style="209" hidden="1" customWidth="1"/>
    <col min="15107" max="15107" width="2.7109375" style="209" customWidth="1"/>
    <col min="15108" max="15108" width="6" style="209" customWidth="1"/>
    <col min="15109" max="15109" width="51.5703125" style="209" customWidth="1"/>
    <col min="15110" max="15110" width="13.140625" style="209" customWidth="1"/>
    <col min="15111" max="15111" width="12.85546875" style="209" customWidth="1"/>
    <col min="15112" max="15120" width="13.7109375" style="209" customWidth="1"/>
    <col min="15121" max="15121" width="16.5703125" style="209" customWidth="1"/>
    <col min="15122" max="15125" width="13.7109375" style="209" customWidth="1"/>
    <col min="15126" max="15360" width="9.140625" style="209"/>
    <col min="15361" max="15362" width="0" style="209" hidden="1" customWidth="1"/>
    <col min="15363" max="15363" width="2.7109375" style="209" customWidth="1"/>
    <col min="15364" max="15364" width="6" style="209" customWidth="1"/>
    <col min="15365" max="15365" width="51.5703125" style="209" customWidth="1"/>
    <col min="15366" max="15366" width="13.140625" style="209" customWidth="1"/>
    <col min="15367" max="15367" width="12.85546875" style="209" customWidth="1"/>
    <col min="15368" max="15376" width="13.7109375" style="209" customWidth="1"/>
    <col min="15377" max="15377" width="16.5703125" style="209" customWidth="1"/>
    <col min="15378" max="15381" width="13.7109375" style="209" customWidth="1"/>
    <col min="15382" max="15616" width="9.140625" style="209"/>
    <col min="15617" max="15618" width="0" style="209" hidden="1" customWidth="1"/>
    <col min="15619" max="15619" width="2.7109375" style="209" customWidth="1"/>
    <col min="15620" max="15620" width="6" style="209" customWidth="1"/>
    <col min="15621" max="15621" width="51.5703125" style="209" customWidth="1"/>
    <col min="15622" max="15622" width="13.140625" style="209" customWidth="1"/>
    <col min="15623" max="15623" width="12.85546875" style="209" customWidth="1"/>
    <col min="15624" max="15632" width="13.7109375" style="209" customWidth="1"/>
    <col min="15633" max="15633" width="16.5703125" style="209" customWidth="1"/>
    <col min="15634" max="15637" width="13.7109375" style="209" customWidth="1"/>
    <col min="15638" max="15872" width="9.140625" style="209"/>
    <col min="15873" max="15874" width="0" style="209" hidden="1" customWidth="1"/>
    <col min="15875" max="15875" width="2.7109375" style="209" customWidth="1"/>
    <col min="15876" max="15876" width="6" style="209" customWidth="1"/>
    <col min="15877" max="15877" width="51.5703125" style="209" customWidth="1"/>
    <col min="15878" max="15878" width="13.140625" style="209" customWidth="1"/>
    <col min="15879" max="15879" width="12.85546875" style="209" customWidth="1"/>
    <col min="15880" max="15888" width="13.7109375" style="209" customWidth="1"/>
    <col min="15889" max="15889" width="16.5703125" style="209" customWidth="1"/>
    <col min="15890" max="15893" width="13.7109375" style="209" customWidth="1"/>
    <col min="15894" max="16128" width="9.140625" style="209"/>
    <col min="16129" max="16130" width="0" style="209" hidden="1" customWidth="1"/>
    <col min="16131" max="16131" width="2.7109375" style="209" customWidth="1"/>
    <col min="16132" max="16132" width="6" style="209" customWidth="1"/>
    <col min="16133" max="16133" width="51.5703125" style="209" customWidth="1"/>
    <col min="16134" max="16134" width="13.140625" style="209" customWidth="1"/>
    <col min="16135" max="16135" width="12.85546875" style="209" customWidth="1"/>
    <col min="16136" max="16144" width="13.7109375" style="209" customWidth="1"/>
    <col min="16145" max="16145" width="16.5703125" style="209" customWidth="1"/>
    <col min="16146" max="16149" width="13.7109375" style="209" customWidth="1"/>
    <col min="16150" max="16384" width="9.140625" style="209"/>
  </cols>
  <sheetData>
    <row r="1" spans="1:22" ht="12.75" hidden="1" customHeight="1">
      <c r="A1" s="211"/>
      <c r="B1" s="211"/>
      <c r="C1" s="211"/>
      <c r="D1" s="211"/>
      <c r="G1" s="209" t="s">
        <v>1132</v>
      </c>
      <c r="H1" s="209" t="s">
        <v>1132</v>
      </c>
      <c r="I1" s="209" t="s">
        <v>1132</v>
      </c>
      <c r="J1" s="209" t="s">
        <v>1132</v>
      </c>
      <c r="K1" s="209" t="s">
        <v>1132</v>
      </c>
      <c r="L1" s="209" t="s">
        <v>1132</v>
      </c>
      <c r="M1" s="209" t="s">
        <v>1132</v>
      </c>
      <c r="N1" s="209" t="s">
        <v>1132</v>
      </c>
      <c r="O1" s="209" t="s">
        <v>1132</v>
      </c>
      <c r="P1" s="209" t="s">
        <v>1132</v>
      </c>
      <c r="Q1" s="209" t="s">
        <v>1132</v>
      </c>
      <c r="R1" s="209" t="s">
        <v>1132</v>
      </c>
      <c r="S1" s="209" t="s">
        <v>1132</v>
      </c>
      <c r="T1" s="209" t="s">
        <v>1132</v>
      </c>
      <c r="U1" s="209" t="s">
        <v>1132</v>
      </c>
    </row>
    <row r="2" spans="1:22" s="1256" customFormat="1" ht="12.75" hidden="1" customHeight="1">
      <c r="A2" s="1255"/>
      <c r="B2" s="1255"/>
      <c r="C2" s="1255"/>
      <c r="D2" s="1255"/>
    </row>
    <row r="4" spans="1:22" s="1257" customFormat="1" ht="24.95" customHeight="1">
      <c r="D4" s="2524" t="s">
        <v>1133</v>
      </c>
      <c r="E4" s="2524"/>
      <c r="F4" s="2524"/>
      <c r="G4" s="1258"/>
      <c r="H4" s="1258"/>
      <c r="I4" s="1258"/>
      <c r="J4" s="1258"/>
      <c r="K4" s="1258"/>
      <c r="L4" s="1258"/>
      <c r="M4" s="1258"/>
      <c r="N4" s="1258"/>
      <c r="O4" s="1258"/>
      <c r="P4" s="1258"/>
      <c r="Q4" s="1258"/>
      <c r="R4" s="1258"/>
      <c r="S4" s="1258"/>
      <c r="T4" s="1258"/>
      <c r="U4" s="1258"/>
    </row>
    <row r="5" spans="1:22" ht="15" customHeight="1">
      <c r="D5" s="2525"/>
      <c r="E5" s="2525"/>
      <c r="F5" s="2525"/>
      <c r="G5" s="2526"/>
      <c r="H5" s="2526"/>
      <c r="I5" s="2526"/>
      <c r="J5" s="2526"/>
      <c r="K5" s="2526"/>
      <c r="L5" s="2526"/>
      <c r="M5" s="2526"/>
      <c r="N5" s="2526"/>
      <c r="O5" s="2526"/>
      <c r="P5" s="2526"/>
      <c r="Q5" s="2526"/>
      <c r="R5" s="2526"/>
      <c r="S5" s="2526"/>
      <c r="T5" s="2526"/>
      <c r="U5" s="2526"/>
    </row>
    <row r="6" spans="1:22" s="1259" customFormat="1" ht="15" customHeight="1">
      <c r="D6" s="2527" t="s">
        <v>12</v>
      </c>
      <c r="E6" s="2528" t="s">
        <v>954</v>
      </c>
      <c r="F6" s="2528" t="s">
        <v>175</v>
      </c>
      <c r="G6" s="2529" t="s">
        <v>2159</v>
      </c>
      <c r="H6" s="2530"/>
      <c r="I6" s="2530"/>
      <c r="J6" s="2530"/>
      <c r="K6" s="2531"/>
      <c r="L6" s="2532" t="s">
        <v>2160</v>
      </c>
      <c r="M6" s="2530"/>
      <c r="N6" s="2530"/>
      <c r="O6" s="2530"/>
      <c r="P6" s="2533"/>
      <c r="Q6" s="2532">
        <v>2021</v>
      </c>
      <c r="R6" s="2530"/>
      <c r="S6" s="2530"/>
      <c r="T6" s="2530"/>
      <c r="U6" s="2533"/>
    </row>
    <row r="7" spans="1:22" s="1259" customFormat="1" ht="15" customHeight="1">
      <c r="D7" s="2527"/>
      <c r="E7" s="2528"/>
      <c r="F7" s="2528"/>
      <c r="G7" s="1260" t="s">
        <v>172</v>
      </c>
      <c r="H7" s="1260" t="s">
        <v>168</v>
      </c>
      <c r="I7" s="1260" t="s">
        <v>208</v>
      </c>
      <c r="J7" s="1260" t="s">
        <v>209</v>
      </c>
      <c r="K7" s="1261" t="s">
        <v>171</v>
      </c>
      <c r="L7" s="1262" t="s">
        <v>172</v>
      </c>
      <c r="M7" s="1260" t="s">
        <v>168</v>
      </c>
      <c r="N7" s="1260" t="s">
        <v>208</v>
      </c>
      <c r="O7" s="1260" t="s">
        <v>209</v>
      </c>
      <c r="P7" s="1263" t="s">
        <v>171</v>
      </c>
      <c r="Q7" s="1262" t="s">
        <v>172</v>
      </c>
      <c r="R7" s="1260" t="s">
        <v>168</v>
      </c>
      <c r="S7" s="1260" t="s">
        <v>208</v>
      </c>
      <c r="T7" s="1260" t="s">
        <v>209</v>
      </c>
      <c r="U7" s="1263" t="s">
        <v>171</v>
      </c>
    </row>
    <row r="8" spans="1:22" s="1264" customFormat="1" ht="11.25">
      <c r="D8" s="1265" t="s">
        <v>111</v>
      </c>
      <c r="E8" s="1265" t="s">
        <v>113</v>
      </c>
      <c r="F8" s="1265" t="s">
        <v>818</v>
      </c>
      <c r="G8" s="2534" t="s">
        <v>820</v>
      </c>
      <c r="H8" s="2534"/>
      <c r="I8" s="2534"/>
      <c r="J8" s="2534"/>
      <c r="K8" s="2534"/>
      <c r="L8" s="2534" t="s">
        <v>822</v>
      </c>
      <c r="M8" s="2534"/>
      <c r="N8" s="2534"/>
      <c r="O8" s="2534"/>
      <c r="P8" s="2534"/>
      <c r="Q8" s="2534" t="s">
        <v>824</v>
      </c>
      <c r="R8" s="2534"/>
      <c r="S8" s="2534"/>
      <c r="T8" s="2534"/>
      <c r="U8" s="2534"/>
    </row>
    <row r="9" spans="1:22" s="1259" customFormat="1" ht="22.5">
      <c r="D9" s="1266"/>
      <c r="E9" s="1267" t="s">
        <v>1134</v>
      </c>
      <c r="F9" s="1267"/>
      <c r="G9" s="1268"/>
      <c r="H9" s="1268"/>
      <c r="I9" s="1268"/>
      <c r="J9" s="1268"/>
      <c r="K9" s="1269"/>
      <c r="L9" s="1270"/>
      <c r="M9" s="1268"/>
      <c r="N9" s="1268"/>
      <c r="O9" s="1268"/>
      <c r="P9" s="1271"/>
      <c r="Q9" s="1270"/>
      <c r="R9" s="1268"/>
      <c r="S9" s="1268"/>
      <c r="T9" s="1268"/>
      <c r="U9" s="1271"/>
    </row>
    <row r="10" spans="1:22" ht="18.75" customHeight="1">
      <c r="D10" s="1272" t="s">
        <v>111</v>
      </c>
      <c r="E10" s="1273" t="s">
        <v>1135</v>
      </c>
      <c r="F10" s="1274" t="s">
        <v>1136</v>
      </c>
      <c r="G10" s="1275">
        <f>(SUMPRODUCT(H10:K10,H25:K25)/G25)</f>
        <v>482364.59069894109</v>
      </c>
      <c r="H10" s="1275">
        <f>IF(SUM(H12:H13)=0,0,(H11/SUM(H12:H13))/6*1000)</f>
        <v>111895.65255295105</v>
      </c>
      <c r="I10" s="1275">
        <f>((H10*H14*6/1000+I11)/SUM(I12:I13))/6*1000</f>
        <v>257306.89304533042</v>
      </c>
      <c r="J10" s="1275">
        <f>((SUMPRODUCT(H10:I10,H15:I15)*6/1000+J11)/SUM(J12:J13))/6*1000</f>
        <v>765078.10532358789</v>
      </c>
      <c r="K10" s="1276">
        <f>(((SUMPRODUCT(H10:J10,H16:J16)*6/1000+K11)/SUM(K12:K13))/6*1000)</f>
        <v>1124494.3315443958</v>
      </c>
      <c r="L10" s="1277">
        <f>(SUMPRODUCT(M10:P10,M25:P25)/L25)</f>
        <v>486636.2565307052</v>
      </c>
      <c r="M10" s="1275">
        <f>IF(SUM(M12:M13)=0,0,(M11/SUM(M12:M13))/6*1000)</f>
        <v>116927.36429053191</v>
      </c>
      <c r="N10" s="1275">
        <f>((M10*M14*6/1000+N11)/SUM(N12:N13))/6*1000</f>
        <v>271614.91699427646</v>
      </c>
      <c r="O10" s="1275">
        <f>((SUMPRODUCT(M10:N10,M15:N15)*6/1000+O11)/SUM(O12:O13))/6*1000</f>
        <v>840231.77961241652</v>
      </c>
      <c r="P10" s="1278">
        <f>(((SUMPRODUCT(M10:O10,M16:O16)*6/1000+P11)/SUM(P12:P13))/6*1000)</f>
        <v>1249333.8888883572</v>
      </c>
      <c r="Q10" s="1277">
        <f>(SUMPRODUCT(R10:U10,R25:U25)/Q25)</f>
        <v>484500.42361482314</v>
      </c>
      <c r="R10" s="1275">
        <f>IF(SUM(R12:R13)=0,0,(R11/SUM(R12:R13))/12*1000)</f>
        <v>114403.38404500953</v>
      </c>
      <c r="S10" s="1275">
        <f>((R10*R14*12/1000+S11)/SUM(S12:S13))/12*1000</f>
        <v>264300.3704175349</v>
      </c>
      <c r="T10" s="1275">
        <f>((SUMPRODUCT(R10:S10,R15:S15)*12/1000+T11)/SUM(T12:T13))/12*1000</f>
        <v>800850.98712982505</v>
      </c>
      <c r="U10" s="1278">
        <f>(((SUMPRODUCT(R10:T10,R16:T16)*12/1000+U11)/SUM(U12:U13))/12*1000)</f>
        <v>1183462.7788930512</v>
      </c>
    </row>
    <row r="11" spans="1:22">
      <c r="A11" s="1279"/>
      <c r="B11" s="1279"/>
      <c r="C11" s="1279"/>
      <c r="D11" s="1280" t="s">
        <v>316</v>
      </c>
      <c r="E11" s="1281" t="s">
        <v>1137</v>
      </c>
      <c r="F11" s="1282" t="s">
        <v>318</v>
      </c>
      <c r="G11" s="1283">
        <f>SUM(H11:K11)</f>
        <v>9656398.8574512191</v>
      </c>
      <c r="H11" s="1283">
        <v>2236205.6774712279</v>
      </c>
      <c r="I11" s="1283">
        <v>860362.38096709328</v>
      </c>
      <c r="J11" s="1283">
        <v>4920346.0096797431</v>
      </c>
      <c r="K11" s="1284">
        <v>1639484.7893331558</v>
      </c>
      <c r="L11" s="1285">
        <f>SUM(M11:P11)</f>
        <v>9741912.8231374025</v>
      </c>
      <c r="M11" s="1283">
        <v>2321719.6386909774</v>
      </c>
      <c r="N11" s="1283">
        <v>860362.38148497278</v>
      </c>
      <c r="O11" s="1283">
        <v>4920346.012641442</v>
      </c>
      <c r="P11" s="1286">
        <v>1639484.7903200104</v>
      </c>
      <c r="Q11" s="1285">
        <f>SUM(R11:U11)</f>
        <v>19398311.680588622</v>
      </c>
      <c r="R11" s="1283">
        <f>H11+M11</f>
        <v>4557925.3161622053</v>
      </c>
      <c r="S11" s="1283">
        <f>I11+N11</f>
        <v>1720724.7624520659</v>
      </c>
      <c r="T11" s="1283">
        <f>J11+O11</f>
        <v>9840692.0223211851</v>
      </c>
      <c r="U11" s="1286">
        <f>K11+P11</f>
        <v>3278969.5796531662</v>
      </c>
      <c r="V11" s="390"/>
    </row>
    <row r="12" spans="1:22">
      <c r="D12" s="1280" t="s">
        <v>323</v>
      </c>
      <c r="E12" s="1287" t="s">
        <v>1138</v>
      </c>
      <c r="F12" s="1288" t="s">
        <v>241</v>
      </c>
      <c r="G12" s="1283">
        <f>SUM(H12:K12)</f>
        <v>3336.4800000000009</v>
      </c>
      <c r="H12" s="1283">
        <v>1725.2468248619898</v>
      </c>
      <c r="I12" s="1283">
        <v>307.00317597289853</v>
      </c>
      <c r="J12" s="1283">
        <v>359.58611419005001</v>
      </c>
      <c r="K12" s="1284">
        <v>944.64388497506241</v>
      </c>
      <c r="L12" s="1285">
        <f>SUM(M12:P12)</f>
        <v>3336.4799999999996</v>
      </c>
      <c r="M12" s="1283">
        <v>1874.3742653831957</v>
      </c>
      <c r="N12" s="1283">
        <v>281.14439583771173</v>
      </c>
      <c r="O12" s="1283">
        <v>360.03612731044097</v>
      </c>
      <c r="P12" s="1286">
        <v>820.92521146865158</v>
      </c>
      <c r="Q12" s="1285">
        <f>SUM(R12:U12)</f>
        <v>3336.4800000000005</v>
      </c>
      <c r="R12" s="1283">
        <v>1799.8105451225927</v>
      </c>
      <c r="S12" s="1283">
        <v>294.07378590530516</v>
      </c>
      <c r="T12" s="1283">
        <v>359.81112075024549</v>
      </c>
      <c r="U12" s="1286">
        <v>882.78454822185699</v>
      </c>
    </row>
    <row r="13" spans="1:22">
      <c r="D13" s="1280" t="s">
        <v>325</v>
      </c>
      <c r="E13" s="1287" t="s">
        <v>1139</v>
      </c>
      <c r="F13" s="1288" t="s">
        <v>241</v>
      </c>
      <c r="G13" s="1289"/>
      <c r="H13" s="1283">
        <f>SUM(H14:H16)</f>
        <v>1605.5434046228941</v>
      </c>
      <c r="I13" s="1283">
        <f>SUM(I14:I16)</f>
        <v>585.81953878250636</v>
      </c>
      <c r="J13" s="1283">
        <f>SUM(J14:J16)</f>
        <v>1031.2662506006093</v>
      </c>
      <c r="K13" s="1290"/>
      <c r="L13" s="1291"/>
      <c r="M13" s="1283">
        <f>SUM(M14:M16)</f>
        <v>1434.9731697791317</v>
      </c>
      <c r="N13" s="1283">
        <f>SUM(N14:N16)</f>
        <v>555.06448513417877</v>
      </c>
      <c r="O13" s="1283">
        <f>SUM(O14:O16)</f>
        <v>895.4222395924412</v>
      </c>
      <c r="P13" s="1292"/>
      <c r="Q13" s="1291"/>
      <c r="R13" s="1283">
        <f>SUM(R14:R16)</f>
        <v>1520.258287201013</v>
      </c>
      <c r="S13" s="1283">
        <f>SUM(S14:S16)</f>
        <v>570.44201195834262</v>
      </c>
      <c r="T13" s="1283">
        <f>SUM(T14:T16)</f>
        <v>963.34424509652524</v>
      </c>
      <c r="U13" s="1292"/>
    </row>
    <row r="14" spans="1:22">
      <c r="D14" s="1280" t="s">
        <v>327</v>
      </c>
      <c r="E14" s="1293" t="s">
        <v>208</v>
      </c>
      <c r="F14" s="1288" t="s">
        <v>241</v>
      </c>
      <c r="G14" s="1289"/>
      <c r="H14" s="1283">
        <v>771.57339577578898</v>
      </c>
      <c r="I14" s="1294"/>
      <c r="J14" s="1294"/>
      <c r="K14" s="1290"/>
      <c r="L14" s="1291"/>
      <c r="M14" s="1283">
        <v>716.11188754334728</v>
      </c>
      <c r="N14" s="1294"/>
      <c r="O14" s="1294"/>
      <c r="P14" s="1292"/>
      <c r="Q14" s="1291"/>
      <c r="R14" s="1283">
        <v>743.84264165956813</v>
      </c>
      <c r="S14" s="1294"/>
      <c r="T14" s="1294"/>
      <c r="U14" s="1292"/>
    </row>
    <row r="15" spans="1:22">
      <c r="D15" s="1280" t="s">
        <v>329</v>
      </c>
      <c r="E15" s="1293" t="s">
        <v>209</v>
      </c>
      <c r="F15" s="1288" t="s">
        <v>241</v>
      </c>
      <c r="G15" s="1289"/>
      <c r="H15" s="1283">
        <v>833.97000884710508</v>
      </c>
      <c r="I15" s="1283">
        <v>585.81953878250636</v>
      </c>
      <c r="J15" s="1294"/>
      <c r="K15" s="1290"/>
      <c r="L15" s="1291"/>
      <c r="M15" s="1283">
        <v>718.8612822357843</v>
      </c>
      <c r="N15" s="1283">
        <v>555.06448513417877</v>
      </c>
      <c r="O15" s="1294"/>
      <c r="P15" s="1292"/>
      <c r="Q15" s="1291"/>
      <c r="R15" s="1283">
        <v>776.41564554144475</v>
      </c>
      <c r="S15" s="1283">
        <v>570.44201195834262</v>
      </c>
      <c r="T15" s="1294"/>
      <c r="U15" s="1292"/>
    </row>
    <row r="16" spans="1:22">
      <c r="D16" s="1280" t="s">
        <v>343</v>
      </c>
      <c r="E16" s="1293" t="s">
        <v>171</v>
      </c>
      <c r="F16" s="1288" t="s">
        <v>241</v>
      </c>
      <c r="G16" s="1289"/>
      <c r="H16" s="1294"/>
      <c r="I16" s="1283">
        <v>0</v>
      </c>
      <c r="J16" s="1283">
        <v>1031.2662506006093</v>
      </c>
      <c r="K16" s="1290"/>
      <c r="L16" s="1291"/>
      <c r="M16" s="1294"/>
      <c r="N16" s="1283">
        <v>0</v>
      </c>
      <c r="O16" s="1283">
        <v>895.4222395924412</v>
      </c>
      <c r="P16" s="1292"/>
      <c r="Q16" s="1291"/>
      <c r="R16" s="1294"/>
      <c r="S16" s="1283">
        <v>0</v>
      </c>
      <c r="T16" s="1283">
        <v>963.34424509652524</v>
      </c>
      <c r="U16" s="1292"/>
    </row>
    <row r="17" spans="1:21" ht="22.5">
      <c r="D17" s="1272" t="s">
        <v>113</v>
      </c>
      <c r="E17" s="1295" t="s">
        <v>1140</v>
      </c>
      <c r="F17" s="1274" t="s">
        <v>1141</v>
      </c>
      <c r="G17" s="1275">
        <f>IF(G27=0,0,SUMPRODUCT(H17:K17,H27:K27)/G27)</f>
        <v>364.30762889001068</v>
      </c>
      <c r="H17" s="1275">
        <f>(H18/SUM(H19:H20))</f>
        <v>171.98247740325604</v>
      </c>
      <c r="I17" s="1275">
        <f>((H17*H21+I18)/SUM(I19:I20))</f>
        <v>234.16392004836086</v>
      </c>
      <c r="J17" s="1275">
        <f>((SUMPRODUCT(H17:I17,H22:I22)+J18)/SUM(J19:J20))</f>
        <v>415.63761881812627</v>
      </c>
      <c r="K17" s="1276">
        <f>((SUMPRODUCT(H17:J17,H23:J23)+K18)/SUM(K19:K20))</f>
        <v>732.70716551128066</v>
      </c>
      <c r="L17" s="1277">
        <f>IF(L27=0,0,SUMPRODUCT(M17:P17,M27:P27)/L27)</f>
        <v>361.52046740471866</v>
      </c>
      <c r="M17" s="1275">
        <f>(M18/SUM(M19:M20))</f>
        <v>181.61299924111091</v>
      </c>
      <c r="N17" s="1275">
        <f>((M17*M21+N18)/SUM(N19:N20))</f>
        <v>247.27626047533607</v>
      </c>
      <c r="O17" s="1275">
        <f>((SUMPRODUCT(M17:N17,M22:N22)+O18)/SUM(O19:O20))</f>
        <v>438.91358528124027</v>
      </c>
      <c r="P17" s="1278">
        <f>((SUMPRODUCT(M17:O17,M23:O23)+P18)/SUM(P19:P20))</f>
        <v>773.73925329093493</v>
      </c>
      <c r="Q17" s="1277">
        <f>IF(Q27=0,0,SUMPRODUCT(R17:U17,R27:U27)/Q27)</f>
        <v>362.90866500647564</v>
      </c>
      <c r="R17" s="1275">
        <f>(R18/SUM(R19:R20))</f>
        <v>176.80037149939119</v>
      </c>
      <c r="S17" s="1275">
        <f>((R17*R21+S18)/SUM(S19:S20))</f>
        <v>240.65677230977499</v>
      </c>
      <c r="T17" s="1275">
        <f>((SUMPRODUCT(R17:S17,R22:S22)+T18)/SUM(T19:T20))</f>
        <v>426.96083593814899</v>
      </c>
      <c r="U17" s="1278">
        <f>((SUMPRODUCT(R17:T17,R23:T23)+U18)/SUM(U19:U20))</f>
        <v>752.35717033103731</v>
      </c>
    </row>
    <row r="18" spans="1:21">
      <c r="A18" s="1279"/>
      <c r="B18" s="1279"/>
      <c r="C18" s="1279"/>
      <c r="D18" s="1280" t="s">
        <v>356</v>
      </c>
      <c r="E18" s="1296" t="s">
        <v>1142</v>
      </c>
      <c r="F18" s="1282" t="s">
        <v>318</v>
      </c>
      <c r="G18" s="1283">
        <f>SUM(H18:K18)</f>
        <v>3727292.3258580007</v>
      </c>
      <c r="H18" s="1283">
        <v>1758426.6489280006</v>
      </c>
      <c r="I18" s="1283">
        <v>258910.10435000001</v>
      </c>
      <c r="J18" s="1283">
        <v>908486.98828000005</v>
      </c>
      <c r="K18" s="1284">
        <v>801468.5843000001</v>
      </c>
      <c r="L18" s="1285">
        <f>SUM(M18:P18)</f>
        <v>3727462.5778107615</v>
      </c>
      <c r="M18" s="1283">
        <v>1858925.4191108758</v>
      </c>
      <c r="N18" s="1283">
        <v>259113.53377713083</v>
      </c>
      <c r="O18" s="1283">
        <v>870417.41738517652</v>
      </c>
      <c r="P18" s="1286">
        <v>739006.2075375783</v>
      </c>
      <c r="Q18" s="1285">
        <f>SUM(R18:U18)</f>
        <v>7454754.9036687622</v>
      </c>
      <c r="R18" s="1283">
        <f>H18+M18</f>
        <v>3617352.0680388762</v>
      </c>
      <c r="S18" s="1283">
        <f>I18+N18</f>
        <v>518023.63812713081</v>
      </c>
      <c r="T18" s="1283">
        <f>J18+O18</f>
        <v>1778904.4056651765</v>
      </c>
      <c r="U18" s="1286">
        <f>K18+P18</f>
        <v>1540474.7918375784</v>
      </c>
    </row>
    <row r="19" spans="1:21">
      <c r="D19" s="1280" t="s">
        <v>358</v>
      </c>
      <c r="E19" s="1287" t="s">
        <v>1143</v>
      </c>
      <c r="F19" s="1288" t="s">
        <v>1144</v>
      </c>
      <c r="G19" s="1283">
        <f>SUM(H19:K19)</f>
        <v>10231.167371417632</v>
      </c>
      <c r="H19" s="1283">
        <v>5286.3054217776325</v>
      </c>
      <c r="I19" s="1283">
        <v>923.93828399999995</v>
      </c>
      <c r="J19" s="1283">
        <v>1086.1092550000001</v>
      </c>
      <c r="K19" s="1284">
        <v>2934.8144106400005</v>
      </c>
      <c r="L19" s="1285">
        <f>SUM(M19:P19)</f>
        <v>10310.516039574333</v>
      </c>
      <c r="M19" s="1283">
        <v>5796.2795246109999</v>
      </c>
      <c r="N19" s="1283">
        <v>852.37428584863267</v>
      </c>
      <c r="O19" s="1283">
        <v>1103.0086373857721</v>
      </c>
      <c r="P19" s="1286">
        <v>2558.8535917289278</v>
      </c>
      <c r="Q19" s="1285">
        <f>SUM(R19:U19)</f>
        <v>20541.683410991966</v>
      </c>
      <c r="R19" s="1283">
        <v>11082.584946388633</v>
      </c>
      <c r="S19" s="1283">
        <v>1776.3125698486324</v>
      </c>
      <c r="T19" s="1283">
        <v>2189.1178923857724</v>
      </c>
      <c r="U19" s="1286">
        <v>5493.6680023689278</v>
      </c>
    </row>
    <row r="20" spans="1:21">
      <c r="D20" s="1280" t="s">
        <v>360</v>
      </c>
      <c r="E20" s="1287" t="s">
        <v>1139</v>
      </c>
      <c r="F20" s="1288" t="s">
        <v>1144</v>
      </c>
      <c r="G20" s="1289"/>
      <c r="H20" s="1283">
        <f>SUM(H21:H23)</f>
        <v>4938.1469496400005</v>
      </c>
      <c r="I20" s="1283">
        <f>SUM(I21:I23)</f>
        <v>2063.4609999999998</v>
      </c>
      <c r="J20" s="1283">
        <f>SUM(J21:J23)</f>
        <v>3245.3534106400002</v>
      </c>
      <c r="K20" s="1290"/>
      <c r="L20" s="1291"/>
      <c r="M20" s="1283">
        <f>SUM(M21:M23)</f>
        <v>4439.3612438284399</v>
      </c>
      <c r="N20" s="1283">
        <f>SUM(N21:N23)</f>
        <v>1940.2670000000001</v>
      </c>
      <c r="O20" s="1283">
        <f>SUM(O21:O23)</f>
        <v>2827.1607473996905</v>
      </c>
      <c r="P20" s="1292"/>
      <c r="Q20" s="1291"/>
      <c r="R20" s="1283">
        <f>SUM(R21:R23)</f>
        <v>9377.5081934684422</v>
      </c>
      <c r="S20" s="1283">
        <f>SUM(S21:S23)</f>
        <v>4003.7280000000001</v>
      </c>
      <c r="T20" s="1283">
        <f>SUM(T21:T23)</f>
        <v>6072.5141580396903</v>
      </c>
      <c r="U20" s="1292"/>
    </row>
    <row r="21" spans="1:21">
      <c r="D21" s="1280" t="s">
        <v>362</v>
      </c>
      <c r="E21" s="1293" t="s">
        <v>208</v>
      </c>
      <c r="F21" s="1288" t="s">
        <v>1144</v>
      </c>
      <c r="G21" s="1289"/>
      <c r="H21" s="1283">
        <v>2562.0692840000002</v>
      </c>
      <c r="I21" s="1294"/>
      <c r="J21" s="1294"/>
      <c r="K21" s="1290"/>
      <c r="L21" s="1291"/>
      <c r="M21" s="1283">
        <v>2375.6028590429778</v>
      </c>
      <c r="N21" s="1294"/>
      <c r="O21" s="1294"/>
      <c r="P21" s="1292"/>
      <c r="Q21" s="1291"/>
      <c r="R21" s="1283">
        <v>4937.672143042978</v>
      </c>
      <c r="S21" s="1294"/>
      <c r="T21" s="1294"/>
      <c r="U21" s="1292"/>
    </row>
    <row r="22" spans="1:21">
      <c r="D22" s="1280" t="s">
        <v>364</v>
      </c>
      <c r="E22" s="1293" t="s">
        <v>209</v>
      </c>
      <c r="F22" s="1288" t="s">
        <v>1144</v>
      </c>
      <c r="G22" s="1289"/>
      <c r="H22" s="1283">
        <v>2376.0776656400008</v>
      </c>
      <c r="I22" s="1283">
        <v>2063.4609999999998</v>
      </c>
      <c r="J22" s="1294"/>
      <c r="K22" s="1290"/>
      <c r="L22" s="1291"/>
      <c r="M22" s="1283">
        <v>2063.7583847854626</v>
      </c>
      <c r="N22" s="1283">
        <v>1940.2670000000001</v>
      </c>
      <c r="O22" s="1294"/>
      <c r="P22" s="1292"/>
      <c r="Q22" s="1291"/>
      <c r="R22" s="1283">
        <v>4439.8360504254633</v>
      </c>
      <c r="S22" s="1283">
        <v>4003.7280000000001</v>
      </c>
      <c r="T22" s="1294"/>
      <c r="U22" s="1292"/>
    </row>
    <row r="23" spans="1:21">
      <c r="D23" s="1280" t="s">
        <v>366</v>
      </c>
      <c r="E23" s="1293" t="s">
        <v>171</v>
      </c>
      <c r="F23" s="1288" t="s">
        <v>1144</v>
      </c>
      <c r="G23" s="1289"/>
      <c r="H23" s="1294"/>
      <c r="I23" s="1283">
        <v>0</v>
      </c>
      <c r="J23" s="1283">
        <v>3245.3534106400002</v>
      </c>
      <c r="K23" s="1290"/>
      <c r="L23" s="1291"/>
      <c r="M23" s="1294"/>
      <c r="N23" s="1283">
        <v>0</v>
      </c>
      <c r="O23" s="1283">
        <v>2827.1607473996905</v>
      </c>
      <c r="P23" s="1292"/>
      <c r="Q23" s="1291"/>
      <c r="R23" s="1294"/>
      <c r="S23" s="1283">
        <v>0</v>
      </c>
      <c r="T23" s="1283">
        <v>6072.5141580396903</v>
      </c>
      <c r="U23" s="1292"/>
    </row>
    <row r="24" spans="1:21">
      <c r="D24" s="1272" t="s">
        <v>818</v>
      </c>
      <c r="E24" s="1273" t="s">
        <v>256</v>
      </c>
      <c r="F24" s="1274" t="s">
        <v>1141</v>
      </c>
      <c r="G24" s="1275">
        <v>1141.2696378168539</v>
      </c>
      <c r="H24" s="1275">
        <f t="shared" ref="H24:P24" si="0">IF(H27=0,0,(H10*H25*6/1000+H17*H27)/H27)</f>
        <v>391.09310822782487</v>
      </c>
      <c r="I24" s="1275">
        <f t="shared" si="0"/>
        <v>747.14645188574957</v>
      </c>
      <c r="J24" s="1275">
        <f t="shared" si="0"/>
        <v>1935.4375561376628</v>
      </c>
      <c r="K24" s="1276">
        <f t="shared" si="0"/>
        <v>2904.3879848464044</v>
      </c>
      <c r="L24" s="1277">
        <v>1158.8486911735524</v>
      </c>
      <c r="M24" s="1275">
        <f t="shared" si="0"/>
        <v>408.48160516118281</v>
      </c>
      <c r="N24" s="1275">
        <f t="shared" si="0"/>
        <v>784.80780974893901</v>
      </c>
      <c r="O24" s="1275">
        <f t="shared" si="0"/>
        <v>2084.4879845450509</v>
      </c>
      <c r="P24" s="1278">
        <f t="shared" si="0"/>
        <v>3178.588886530777</v>
      </c>
      <c r="Q24" s="1277">
        <v>1150.0200341557368</v>
      </c>
      <c r="R24" s="1275">
        <f>IF(R27=0,0,(R10*R25*12/1000+R17*R27)/R27)</f>
        <v>399.74953146303</v>
      </c>
      <c r="S24" s="1275">
        <f>IF(S27=0,0,(S10*S25*12/1000+S17*S27)/S27)</f>
        <v>765.72524413722283</v>
      </c>
      <c r="T24" s="1275">
        <f>IF(T27=0,0,(T10*T25*12/1000+T17*T27)/T27)</f>
        <v>2006.5290751931773</v>
      </c>
      <c r="U24" s="1278">
        <f>IF(U27=0,0,(U10*U25*12/1000+U17*U27)/U27)</f>
        <v>3034.4229685962</v>
      </c>
    </row>
    <row r="25" spans="1:21">
      <c r="D25" s="1280" t="s">
        <v>820</v>
      </c>
      <c r="E25" s="1297" t="s">
        <v>1145</v>
      </c>
      <c r="F25" s="1288" t="s">
        <v>241</v>
      </c>
      <c r="G25" s="1283">
        <f>SUM(H25:K25)</f>
        <v>3336.4800000000009</v>
      </c>
      <c r="H25" s="1283">
        <f>H12</f>
        <v>1725.2468248619898</v>
      </c>
      <c r="I25" s="1283">
        <f>I12</f>
        <v>307.00317597289853</v>
      </c>
      <c r="J25" s="1283">
        <f>J12</f>
        <v>359.58611419005001</v>
      </c>
      <c r="K25" s="1284">
        <f>K12</f>
        <v>944.64388497506241</v>
      </c>
      <c r="L25" s="1285">
        <f>SUM(M25:P25)</f>
        <v>3336.4799999999996</v>
      </c>
      <c r="M25" s="1283">
        <f>M12</f>
        <v>1874.3742653831957</v>
      </c>
      <c r="N25" s="1283">
        <f>N12</f>
        <v>281.14439583771173</v>
      </c>
      <c r="O25" s="1283">
        <f>O12</f>
        <v>360.03612731044097</v>
      </c>
      <c r="P25" s="1286">
        <f>P12</f>
        <v>820.92521146865158</v>
      </c>
      <c r="Q25" s="1285">
        <f>SUM(R25:U25)</f>
        <v>3336.4800000000005</v>
      </c>
      <c r="R25" s="1283">
        <f>R12</f>
        <v>1799.8105451225927</v>
      </c>
      <c r="S25" s="1283">
        <f>S12</f>
        <v>294.07378590530516</v>
      </c>
      <c r="T25" s="1283">
        <f>T12</f>
        <v>359.81112075024549</v>
      </c>
      <c r="U25" s="1286">
        <f>U12</f>
        <v>882.78454822185699</v>
      </c>
    </row>
    <row r="26" spans="1:21">
      <c r="D26" s="1280" t="s">
        <v>822</v>
      </c>
      <c r="E26" s="1297" t="s">
        <v>1146</v>
      </c>
      <c r="F26" s="1288" t="s">
        <v>241</v>
      </c>
      <c r="G26" s="1283">
        <f>SUM(H26:K26)</f>
        <v>726.00402483320192</v>
      </c>
      <c r="H26" s="1283">
        <v>0.42878054121698694</v>
      </c>
      <c r="I26" s="1283">
        <v>6.5314436920480681E-2</v>
      </c>
      <c r="J26" s="1283">
        <v>28.682797057625834</v>
      </c>
      <c r="K26" s="1284">
        <v>696.82713279743859</v>
      </c>
      <c r="L26" s="1285">
        <f>SUM(M26:P26)</f>
        <v>673.31566314466284</v>
      </c>
      <c r="M26" s="1283">
        <v>0.40102827898732157</v>
      </c>
      <c r="N26" s="1283">
        <v>9.7026682896743932E-2</v>
      </c>
      <c r="O26" s="1283">
        <v>27.40209757813377</v>
      </c>
      <c r="P26" s="1286">
        <v>645.41551060464496</v>
      </c>
      <c r="Q26" s="1285">
        <f>SUM(R26:U26)</f>
        <v>699.65984398893238</v>
      </c>
      <c r="R26" s="1283">
        <v>0.41490441010215429</v>
      </c>
      <c r="S26" s="1283">
        <v>8.11705599086123E-2</v>
      </c>
      <c r="T26" s="1283">
        <v>28.042447317879802</v>
      </c>
      <c r="U26" s="1286">
        <v>671.12132170104178</v>
      </c>
    </row>
    <row r="27" spans="1:21">
      <c r="D27" s="1280" t="s">
        <v>824</v>
      </c>
      <c r="E27" s="1297" t="s">
        <v>1147</v>
      </c>
      <c r="F27" s="1288" t="s">
        <v>1144</v>
      </c>
      <c r="G27" s="1283">
        <f>SUM(H27:K27)</f>
        <v>10231.167371417632</v>
      </c>
      <c r="H27" s="1283">
        <f>H19</f>
        <v>5286.3054217776325</v>
      </c>
      <c r="I27" s="1283">
        <f>I19</f>
        <v>923.93828399999995</v>
      </c>
      <c r="J27" s="1283">
        <f>J19</f>
        <v>1086.1092550000001</v>
      </c>
      <c r="K27" s="1284">
        <f>K19</f>
        <v>2934.8144106400005</v>
      </c>
      <c r="L27" s="1285">
        <f>SUM(M27:P27)</f>
        <v>10310.516039574333</v>
      </c>
      <c r="M27" s="1283">
        <f>M19</f>
        <v>5796.2795246109999</v>
      </c>
      <c r="N27" s="1283">
        <f>N19</f>
        <v>852.37428584863267</v>
      </c>
      <c r="O27" s="1283">
        <f>O19</f>
        <v>1103.0086373857721</v>
      </c>
      <c r="P27" s="1286">
        <f>P19</f>
        <v>2558.8535917289278</v>
      </c>
      <c r="Q27" s="1285">
        <f>SUM(R27:U27)</f>
        <v>20541.683410991966</v>
      </c>
      <c r="R27" s="1283">
        <f>R19</f>
        <v>11082.584946388633</v>
      </c>
      <c r="S27" s="1283">
        <f>S19</f>
        <v>1776.3125698486324</v>
      </c>
      <c r="T27" s="1283">
        <f>T19</f>
        <v>2189.1178923857724</v>
      </c>
      <c r="U27" s="1286">
        <f>U19</f>
        <v>5493.6680023689278</v>
      </c>
    </row>
    <row r="28" spans="1:21">
      <c r="D28" s="1280" t="s">
        <v>832</v>
      </c>
      <c r="E28" s="1297" t="s">
        <v>1148</v>
      </c>
      <c r="F28" s="1288" t="s">
        <v>1144</v>
      </c>
      <c r="G28" s="1283">
        <f>SUM(H28:K28)</f>
        <v>2201.9848000000002</v>
      </c>
      <c r="H28" s="1283">
        <v>1.3005</v>
      </c>
      <c r="I28" s="1283">
        <v>0.1981</v>
      </c>
      <c r="J28" s="1283">
        <v>86.995500000000007</v>
      </c>
      <c r="K28" s="1284">
        <v>2113.4907000000003</v>
      </c>
      <c r="L28" s="1285">
        <f>SUM(M28:P28)</f>
        <v>2047.8434</v>
      </c>
      <c r="M28" s="1283">
        <v>1.2197</v>
      </c>
      <c r="N28" s="1283">
        <v>0.29509999999999997</v>
      </c>
      <c r="O28" s="1283">
        <v>83.3416</v>
      </c>
      <c r="P28" s="1286">
        <v>1962.9870000000001</v>
      </c>
      <c r="Q28" s="1285">
        <f>SUM(R28:U28)</f>
        <v>4249.8281999999999</v>
      </c>
      <c r="R28" s="1283">
        <v>2.5202</v>
      </c>
      <c r="S28" s="1283">
        <v>0.49319999999999997</v>
      </c>
      <c r="T28" s="1283">
        <v>170.33710000000002</v>
      </c>
      <c r="U28" s="1286">
        <v>4076.4777000000004</v>
      </c>
    </row>
    <row r="29" spans="1:21" s="1259" customFormat="1" ht="22.5" customHeight="1">
      <c r="D29" s="1298"/>
      <c r="E29" s="1267" t="s">
        <v>1149</v>
      </c>
      <c r="F29" s="1267"/>
      <c r="G29" s="1299"/>
      <c r="H29" s="1299"/>
      <c r="I29" s="1299"/>
      <c r="J29" s="1299"/>
      <c r="K29" s="1300"/>
      <c r="L29" s="1301"/>
      <c r="M29" s="1299"/>
      <c r="N29" s="1299"/>
      <c r="O29" s="1299"/>
      <c r="P29" s="1302"/>
      <c r="Q29" s="1301"/>
      <c r="R29" s="1299"/>
      <c r="S29" s="1299"/>
      <c r="T29" s="1299"/>
      <c r="U29" s="1302"/>
    </row>
    <row r="30" spans="1:21">
      <c r="D30" s="1303" t="s">
        <v>833</v>
      </c>
      <c r="E30" s="1304" t="s">
        <v>1150</v>
      </c>
      <c r="F30" s="1288" t="s">
        <v>1144</v>
      </c>
      <c r="G30" s="1289"/>
      <c r="H30" s="1283">
        <v>1.3005</v>
      </c>
      <c r="I30" s="1283">
        <v>0.1981</v>
      </c>
      <c r="J30" s="1283">
        <v>86.995500000000007</v>
      </c>
      <c r="K30" s="1284">
        <v>2113.4907000000003</v>
      </c>
      <c r="L30" s="1291"/>
      <c r="M30" s="1283">
        <v>1.2197</v>
      </c>
      <c r="N30" s="1283">
        <v>0.29509999999999997</v>
      </c>
      <c r="O30" s="1283">
        <v>83.3416</v>
      </c>
      <c r="P30" s="1286">
        <v>1962.9870000000001</v>
      </c>
      <c r="Q30" s="1291"/>
      <c r="R30" s="1283">
        <v>2.5202</v>
      </c>
      <c r="S30" s="1283">
        <v>0.49319999999999997</v>
      </c>
      <c r="T30" s="1283">
        <v>170.33710000000002</v>
      </c>
      <c r="U30" s="1286">
        <v>4076.4777000000004</v>
      </c>
    </row>
    <row r="31" spans="1:21" hidden="1">
      <c r="D31" s="1280"/>
      <c r="E31" s="1304" t="s">
        <v>1150</v>
      </c>
      <c r="F31" s="1288" t="s">
        <v>1144</v>
      </c>
      <c r="G31" s="1289"/>
      <c r="H31" s="1283">
        <v>0</v>
      </c>
      <c r="I31" s="1283">
        <v>0</v>
      </c>
      <c r="J31" s="1283">
        <v>0</v>
      </c>
      <c r="K31" s="1284">
        <v>0</v>
      </c>
      <c r="L31" s="1291"/>
      <c r="M31" s="1283">
        <v>0</v>
      </c>
      <c r="N31" s="1283">
        <v>0</v>
      </c>
      <c r="O31" s="1283">
        <v>0</v>
      </c>
      <c r="P31" s="1286">
        <v>0</v>
      </c>
      <c r="Q31" s="1291"/>
      <c r="R31" s="1283">
        <v>0</v>
      </c>
      <c r="S31" s="1283">
        <v>0</v>
      </c>
      <c r="T31" s="1283">
        <v>0</v>
      </c>
      <c r="U31" s="1286">
        <v>0</v>
      </c>
    </row>
    <row r="32" spans="1:21">
      <c r="D32" s="1280" t="s">
        <v>407</v>
      </c>
      <c r="E32" s="1297" t="s">
        <v>1151</v>
      </c>
      <c r="F32" s="1288" t="s">
        <v>1141</v>
      </c>
      <c r="G32" s="1289"/>
      <c r="H32" s="1283">
        <f>(IF($F$34="отсутствует",H24,(H10*H26*6/1000+H17*H28)/H28))</f>
        <v>393.33739533397016</v>
      </c>
      <c r="I32" s="1283">
        <f>(IF($F$34="отсутствует",I24,(I10*I26*6/1000+I17*I28)/I28))</f>
        <v>743.17517199225085</v>
      </c>
      <c r="J32" s="1283">
        <f>(IF($F$34="отсутствует",J24,(J10*J26*6/1000+J17*J28)/J28))</f>
        <v>1929.1352154682531</v>
      </c>
      <c r="K32" s="1284">
        <f>(IF($F$34="отсутствует",K24,(K10*K26*6/1000+K17*K28)/K28))</f>
        <v>2957.2113780835534</v>
      </c>
      <c r="L32" s="1291"/>
      <c r="M32" s="1283">
        <f>(IF($F$34="отсутствует",M24,(M10*M26*6/1000+M17*M28)/M28))</f>
        <v>412.28208016898964</v>
      </c>
      <c r="N32" s="1283">
        <f>(IF($F$34="отсутствует",N24,(N10*N26*6/1000+N17*N28)/N28))</f>
        <v>783.10603522075974</v>
      </c>
      <c r="O32" s="1283">
        <f>(IF($F$34="отсутствует",O24,(O10*O26*6/1000+O17*O28)/O28))</f>
        <v>2096.4853055161593</v>
      </c>
      <c r="P32" s="1286">
        <f>(IF($F$34="отсутствует",P24,(P10*P26*6/1000+P17*P28)/P28))</f>
        <v>3238.3693394175339</v>
      </c>
      <c r="Q32" s="1291"/>
      <c r="R32" s="1283">
        <f>(IF($F$34="отсутствует",R24,(R10*R26*12/1000+R17*R28)/R28))</f>
        <v>402.81323668890735</v>
      </c>
      <c r="S32" s="1283">
        <f>(IF($F$34="отсутствует",S24,(S10*S26*12/1000+S17*S28)/S28))</f>
        <v>762.63752780478558</v>
      </c>
      <c r="T32" s="1283">
        <f>(IF($F$34="отсутствует",T24,(T10*T26*12/1000+T17*T28)/T28))</f>
        <v>2009.081579996383</v>
      </c>
      <c r="U32" s="1286">
        <f>(IF($F$34="отсутствует",U24,(U10*U26*12/1000+U17*U28)/U28))</f>
        <v>3090.3965154883304</v>
      </c>
    </row>
    <row r="33" spans="1:22" ht="22.5">
      <c r="A33" s="209">
        <f>IF((A35+A37+A39+A41+A43+A45+A47+A49+A51+A53)=0,0,(A34*A35+A36*A37+A38*A39+A40*A41+A42*A43+A44*A45+A46*A47+A48*A49+A50*A51+A52*A53)/(A35+A37+A39+A41+A43+A45+A47+A49+A51+A53))</f>
        <v>0</v>
      </c>
      <c r="D33" s="1305" t="s">
        <v>999</v>
      </c>
      <c r="E33" s="1306" t="s">
        <v>1152</v>
      </c>
      <c r="F33" s="1274" t="s">
        <v>1141</v>
      </c>
      <c r="G33" s="1307"/>
      <c r="H33" s="1275">
        <v>867.52545744029328</v>
      </c>
      <c r="I33" s="1275">
        <v>789.9151738064154</v>
      </c>
      <c r="J33" s="1275">
        <v>275.73620383428175</v>
      </c>
      <c r="K33" s="1278">
        <v>508.89725970677955</v>
      </c>
      <c r="L33" s="1308"/>
      <c r="M33" s="1275">
        <v>955.02564648310272</v>
      </c>
      <c r="N33" s="1275">
        <v>947.76123272754194</v>
      </c>
      <c r="O33" s="1275">
        <v>290.79422374965799</v>
      </c>
      <c r="P33" s="1278">
        <v>571.61137124518825</v>
      </c>
      <c r="Q33" s="1308"/>
      <c r="R33" s="1309">
        <f>IF((H30+M30)=0,0,(H33*H30+M33*M30)/(H30+M30))</f>
        <v>909.87288247620904</v>
      </c>
      <c r="S33" s="1309">
        <f>IF((I30+N30)=0,0,(I33*I30+N33*N30)/(I30+N30))</f>
        <v>884.36037248367495</v>
      </c>
      <c r="T33" s="1309">
        <f>IF((J30+O30)=0,0,(J33*J30+O33*O30)/(J30+O30))</f>
        <v>283.10370904940703</v>
      </c>
      <c r="U33" s="1310">
        <f>IF((K30+P30)=0,0,(K33*K30+P33*P30)/(K30+P30))</f>
        <v>539.0966118745705</v>
      </c>
      <c r="V33" s="1256"/>
    </row>
    <row r="34" spans="1:22" ht="51">
      <c r="D34" s="1311"/>
      <c r="E34" s="1312" t="s">
        <v>1153</v>
      </c>
      <c r="F34" s="1313" t="s">
        <v>1154</v>
      </c>
      <c r="G34" s="1307"/>
      <c r="H34" s="1314"/>
      <c r="I34" s="1314"/>
      <c r="J34" s="1314"/>
      <c r="K34" s="1315"/>
      <c r="L34" s="1316"/>
      <c r="M34" s="1314"/>
      <c r="N34" s="1314"/>
      <c r="O34" s="1314"/>
      <c r="P34" s="1315"/>
      <c r="Q34" s="1308"/>
      <c r="R34" s="1317"/>
      <c r="S34" s="1317"/>
      <c r="T34" s="1317"/>
      <c r="U34" s="1318"/>
    </row>
    <row r="35" spans="1:22" s="1319" customFormat="1" hidden="1">
      <c r="D35" s="1320"/>
      <c r="E35" s="1321"/>
      <c r="F35" s="1322"/>
      <c r="G35" s="1307"/>
      <c r="H35" s="1314"/>
      <c r="I35" s="1314"/>
      <c r="J35" s="1314"/>
      <c r="K35" s="1315"/>
      <c r="L35" s="1316"/>
      <c r="M35" s="1314"/>
      <c r="N35" s="1314"/>
      <c r="O35" s="1314"/>
      <c r="P35" s="1315"/>
      <c r="Q35" s="1308"/>
      <c r="R35" s="1317"/>
      <c r="S35" s="1317"/>
      <c r="T35" s="1317"/>
      <c r="U35" s="1318"/>
    </row>
    <row r="36" spans="1:22" hidden="1">
      <c r="D36" s="1320"/>
      <c r="E36" s="1323"/>
      <c r="F36" s="1322"/>
      <c r="G36" s="1307"/>
      <c r="H36" s="1314"/>
      <c r="I36" s="1314"/>
      <c r="J36" s="1314"/>
      <c r="K36" s="1315"/>
      <c r="L36" s="1316"/>
      <c r="M36" s="1314"/>
      <c r="N36" s="1314"/>
      <c r="O36" s="1314"/>
      <c r="P36" s="1315"/>
      <c r="Q36" s="1308"/>
      <c r="R36" s="1317"/>
      <c r="S36" s="1317"/>
      <c r="T36" s="1317"/>
      <c r="U36" s="1318"/>
    </row>
    <row r="37" spans="1:22" s="1319" customFormat="1" hidden="1">
      <c r="D37" s="1320"/>
      <c r="E37" s="1321"/>
      <c r="F37" s="1322"/>
      <c r="G37" s="1307"/>
      <c r="H37" s="1314"/>
      <c r="I37" s="1314"/>
      <c r="J37" s="1314"/>
      <c r="K37" s="1315"/>
      <c r="L37" s="1316"/>
      <c r="M37" s="1314"/>
      <c r="N37" s="1314"/>
      <c r="O37" s="1314"/>
      <c r="P37" s="1315"/>
      <c r="Q37" s="1308"/>
      <c r="R37" s="1317"/>
      <c r="S37" s="1317"/>
      <c r="T37" s="1317"/>
      <c r="U37" s="1318"/>
    </row>
    <row r="38" spans="1:22" hidden="1">
      <c r="D38" s="1320"/>
      <c r="E38" s="1323"/>
      <c r="F38" s="1322"/>
      <c r="G38" s="1307"/>
      <c r="H38" s="1314"/>
      <c r="I38" s="1314"/>
      <c r="J38" s="1314"/>
      <c r="K38" s="1315"/>
      <c r="L38" s="1316"/>
      <c r="M38" s="1314"/>
      <c r="N38" s="1314"/>
      <c r="O38" s="1314"/>
      <c r="P38" s="1315"/>
      <c r="Q38" s="1308"/>
      <c r="R38" s="1317"/>
      <c r="S38" s="1317"/>
      <c r="T38" s="1317"/>
      <c r="U38" s="1318"/>
    </row>
    <row r="39" spans="1:22" s="1319" customFormat="1" hidden="1">
      <c r="D39" s="1320"/>
      <c r="E39" s="1321"/>
      <c r="F39" s="1322"/>
      <c r="G39" s="1307"/>
      <c r="H39" s="1314"/>
      <c r="I39" s="1314"/>
      <c r="J39" s="1314"/>
      <c r="K39" s="1315"/>
      <c r="L39" s="1316"/>
      <c r="M39" s="1314"/>
      <c r="N39" s="1314"/>
      <c r="O39" s="1314"/>
      <c r="P39" s="1315"/>
      <c r="Q39" s="1308"/>
      <c r="R39" s="1317"/>
      <c r="S39" s="1317"/>
      <c r="T39" s="1317"/>
      <c r="U39" s="1318"/>
    </row>
    <row r="40" spans="1:22" hidden="1">
      <c r="D40" s="1320"/>
      <c r="E40" s="1323"/>
      <c r="F40" s="1322"/>
      <c r="G40" s="1307"/>
      <c r="H40" s="1314"/>
      <c r="I40" s="1314"/>
      <c r="J40" s="1314"/>
      <c r="K40" s="1315"/>
      <c r="L40" s="1316"/>
      <c r="M40" s="1314"/>
      <c r="N40" s="1314"/>
      <c r="O40" s="1314"/>
      <c r="P40" s="1315"/>
      <c r="Q40" s="1308"/>
      <c r="R40" s="1317"/>
      <c r="S40" s="1317"/>
      <c r="T40" s="1317"/>
      <c r="U40" s="1318"/>
    </row>
    <row r="41" spans="1:22" s="1319" customFormat="1" hidden="1">
      <c r="D41" s="1320"/>
      <c r="E41" s="1321"/>
      <c r="F41" s="1322"/>
      <c r="G41" s="1307"/>
      <c r="H41" s="1314"/>
      <c r="I41" s="1314"/>
      <c r="J41" s="1314"/>
      <c r="K41" s="1315"/>
      <c r="L41" s="1316"/>
      <c r="M41" s="1314"/>
      <c r="N41" s="1314"/>
      <c r="O41" s="1314"/>
      <c r="P41" s="1315"/>
      <c r="Q41" s="1308"/>
      <c r="R41" s="1317"/>
      <c r="S41" s="1317"/>
      <c r="T41" s="1317"/>
      <c r="U41" s="1318"/>
    </row>
    <row r="42" spans="1:22" hidden="1">
      <c r="D42" s="1320"/>
      <c r="E42" s="1323"/>
      <c r="F42" s="1322"/>
      <c r="G42" s="1307"/>
      <c r="H42" s="1314"/>
      <c r="I42" s="1314"/>
      <c r="J42" s="1314"/>
      <c r="K42" s="1315"/>
      <c r="L42" s="1316"/>
      <c r="M42" s="1314"/>
      <c r="N42" s="1314"/>
      <c r="O42" s="1314"/>
      <c r="P42" s="1315"/>
      <c r="Q42" s="1308"/>
      <c r="R42" s="1317"/>
      <c r="S42" s="1317"/>
      <c r="T42" s="1317"/>
      <c r="U42" s="1318"/>
    </row>
    <row r="43" spans="1:22" s="1319" customFormat="1" hidden="1">
      <c r="D43" s="1320"/>
      <c r="E43" s="1321"/>
      <c r="F43" s="1322"/>
      <c r="G43" s="1307"/>
      <c r="H43" s="1314"/>
      <c r="I43" s="1314"/>
      <c r="J43" s="1314"/>
      <c r="K43" s="1315"/>
      <c r="L43" s="1316"/>
      <c r="M43" s="1314"/>
      <c r="N43" s="1314"/>
      <c r="O43" s="1314"/>
      <c r="P43" s="1315"/>
      <c r="Q43" s="1308"/>
      <c r="R43" s="1317"/>
      <c r="S43" s="1317"/>
      <c r="T43" s="1317"/>
      <c r="U43" s="1318"/>
    </row>
    <row r="44" spans="1:22" hidden="1">
      <c r="D44" s="1320"/>
      <c r="E44" s="1323"/>
      <c r="F44" s="1322"/>
      <c r="G44" s="1307"/>
      <c r="H44" s="1314"/>
      <c r="I44" s="1314"/>
      <c r="J44" s="1314"/>
      <c r="K44" s="1315"/>
      <c r="L44" s="1316"/>
      <c r="M44" s="1314"/>
      <c r="N44" s="1314"/>
      <c r="O44" s="1314"/>
      <c r="P44" s="1315"/>
      <c r="Q44" s="1308"/>
      <c r="R44" s="1317"/>
      <c r="S44" s="1317"/>
      <c r="T44" s="1317"/>
      <c r="U44" s="1318"/>
    </row>
    <row r="45" spans="1:22" s="1319" customFormat="1" hidden="1">
      <c r="D45" s="1320"/>
      <c r="E45" s="1321"/>
      <c r="F45" s="1322"/>
      <c r="G45" s="1307"/>
      <c r="H45" s="1314"/>
      <c r="I45" s="1314"/>
      <c r="J45" s="1314"/>
      <c r="K45" s="1315"/>
      <c r="L45" s="1316"/>
      <c r="M45" s="1314"/>
      <c r="N45" s="1314"/>
      <c r="O45" s="1314"/>
      <c r="P45" s="1315"/>
      <c r="Q45" s="1308"/>
      <c r="R45" s="1317"/>
      <c r="S45" s="1317"/>
      <c r="T45" s="1317"/>
      <c r="U45" s="1318"/>
    </row>
    <row r="46" spans="1:22" hidden="1">
      <c r="D46" s="1320"/>
      <c r="E46" s="1323"/>
      <c r="F46" s="1322"/>
      <c r="G46" s="1307"/>
      <c r="H46" s="1314"/>
      <c r="I46" s="1314"/>
      <c r="J46" s="1314"/>
      <c r="K46" s="1315"/>
      <c r="L46" s="1316"/>
      <c r="M46" s="1314"/>
      <c r="N46" s="1314"/>
      <c r="O46" s="1314"/>
      <c r="P46" s="1315"/>
      <c r="Q46" s="1308"/>
      <c r="R46" s="1317"/>
      <c r="S46" s="1317"/>
      <c r="T46" s="1317"/>
      <c r="U46" s="1318"/>
    </row>
    <row r="47" spans="1:22" s="1319" customFormat="1" hidden="1">
      <c r="D47" s="1320"/>
      <c r="E47" s="1321"/>
      <c r="F47" s="1322"/>
      <c r="G47" s="1307"/>
      <c r="H47" s="1314"/>
      <c r="I47" s="1314"/>
      <c r="J47" s="1314"/>
      <c r="K47" s="1315"/>
      <c r="L47" s="1316"/>
      <c r="M47" s="1314"/>
      <c r="N47" s="1314"/>
      <c r="O47" s="1314"/>
      <c r="P47" s="1315"/>
      <c r="Q47" s="1308"/>
      <c r="R47" s="1317"/>
      <c r="S47" s="1317"/>
      <c r="T47" s="1317"/>
      <c r="U47" s="1318"/>
    </row>
    <row r="48" spans="1:22" hidden="1">
      <c r="D48" s="1320"/>
      <c r="E48" s="1323"/>
      <c r="F48" s="1322"/>
      <c r="G48" s="1307"/>
      <c r="H48" s="1314"/>
      <c r="I48" s="1314"/>
      <c r="J48" s="1314"/>
      <c r="K48" s="1315"/>
      <c r="L48" s="1316"/>
      <c r="M48" s="1314"/>
      <c r="N48" s="1314"/>
      <c r="O48" s="1314"/>
      <c r="P48" s="1315"/>
      <c r="Q48" s="1308"/>
      <c r="R48" s="1317"/>
      <c r="S48" s="1317"/>
      <c r="T48" s="1317"/>
      <c r="U48" s="1318"/>
    </row>
    <row r="49" spans="4:21" s="1319" customFormat="1" hidden="1">
      <c r="D49" s="1320"/>
      <c r="E49" s="1321"/>
      <c r="F49" s="1322"/>
      <c r="G49" s="1307"/>
      <c r="H49" s="1314"/>
      <c r="I49" s="1314"/>
      <c r="J49" s="1314"/>
      <c r="K49" s="1315"/>
      <c r="L49" s="1316"/>
      <c r="M49" s="1314"/>
      <c r="N49" s="1314"/>
      <c r="O49" s="1314"/>
      <c r="P49" s="1315"/>
      <c r="Q49" s="1308"/>
      <c r="R49" s="1317"/>
      <c r="S49" s="1317"/>
      <c r="T49" s="1317"/>
      <c r="U49" s="1318"/>
    </row>
    <row r="50" spans="4:21" hidden="1">
      <c r="D50" s="1320"/>
      <c r="E50" s="1323"/>
      <c r="F50" s="1322"/>
      <c r="G50" s="1307"/>
      <c r="H50" s="1314"/>
      <c r="I50" s="1314"/>
      <c r="J50" s="1314"/>
      <c r="K50" s="1315"/>
      <c r="L50" s="1316"/>
      <c r="M50" s="1314"/>
      <c r="N50" s="1314"/>
      <c r="O50" s="1314"/>
      <c r="P50" s="1315"/>
      <c r="Q50" s="1308"/>
      <c r="R50" s="1317"/>
      <c r="S50" s="1317"/>
      <c r="T50" s="1317"/>
      <c r="U50" s="1318"/>
    </row>
    <row r="51" spans="4:21" s="1319" customFormat="1" hidden="1">
      <c r="D51" s="1320"/>
      <c r="E51" s="1321"/>
      <c r="F51" s="1322"/>
      <c r="G51" s="1307"/>
      <c r="H51" s="1314"/>
      <c r="I51" s="1314"/>
      <c r="J51" s="1314"/>
      <c r="K51" s="1315"/>
      <c r="L51" s="1316"/>
      <c r="M51" s="1314"/>
      <c r="N51" s="1314"/>
      <c r="O51" s="1314"/>
      <c r="P51" s="1315"/>
      <c r="Q51" s="1308"/>
      <c r="R51" s="1317"/>
      <c r="S51" s="1317"/>
      <c r="T51" s="1317"/>
      <c r="U51" s="1318"/>
    </row>
    <row r="52" spans="4:21" hidden="1">
      <c r="D52" s="1320"/>
      <c r="E52" s="1323"/>
      <c r="F52" s="1322"/>
      <c r="G52" s="1307"/>
      <c r="H52" s="1314"/>
      <c r="I52" s="1314"/>
      <c r="J52" s="1314"/>
      <c r="K52" s="1315"/>
      <c r="L52" s="1316"/>
      <c r="M52" s="1314"/>
      <c r="N52" s="1314"/>
      <c r="O52" s="1314"/>
      <c r="P52" s="1315"/>
      <c r="Q52" s="1308"/>
      <c r="R52" s="1317"/>
      <c r="S52" s="1317"/>
      <c r="T52" s="1317"/>
      <c r="U52" s="1318"/>
    </row>
    <row r="53" spans="4:21" s="1319" customFormat="1" hidden="1">
      <c r="D53" s="1320"/>
      <c r="E53" s="1321"/>
      <c r="F53" s="1322"/>
      <c r="G53" s="1307"/>
      <c r="H53" s="1314"/>
      <c r="I53" s="1314"/>
      <c r="J53" s="1314"/>
      <c r="K53" s="1315"/>
      <c r="L53" s="1316"/>
      <c r="M53" s="1314"/>
      <c r="N53" s="1314"/>
      <c r="O53" s="1314"/>
      <c r="P53" s="1315"/>
      <c r="Q53" s="1308"/>
      <c r="R53" s="1317"/>
      <c r="S53" s="1317"/>
      <c r="T53" s="1317"/>
      <c r="U53" s="1318"/>
    </row>
    <row r="54" spans="4:21">
      <c r="D54" s="1324" t="s">
        <v>1001</v>
      </c>
      <c r="E54" s="1325" t="s">
        <v>1155</v>
      </c>
      <c r="F54" s="1288" t="s">
        <v>318</v>
      </c>
      <c r="G54" s="1283">
        <f>SUM(H54:K54)</f>
        <v>5317701.4528154861</v>
      </c>
      <c r="H54" s="1283">
        <f>(H32-H33)*H30</f>
        <v>-616.6815747692732</v>
      </c>
      <c r="I54" s="1283">
        <f>(I32-I33)*I30</f>
        <v>-9.2591943593859956</v>
      </c>
      <c r="J54" s="1283">
        <f>(J32-J33)*J30</f>
        <v>143838.27371660317</v>
      </c>
      <c r="K54" s="1283">
        <f>(K32-K33)*K30</f>
        <v>5174489.1198680112</v>
      </c>
      <c r="L54" s="1285">
        <f>SUM(M54:P54)</f>
        <v>5384589.8334522611</v>
      </c>
      <c r="M54" s="1283">
        <f>(M32-M33)*M30</f>
        <v>-661.98432783332373</v>
      </c>
      <c r="N54" s="1283">
        <f>(N32-N33)*N30</f>
        <v>-48.589748784251427</v>
      </c>
      <c r="O54" s="1283">
        <f>(O32-O33)*O30</f>
        <v>150489.18386015104</v>
      </c>
      <c r="P54" s="1286">
        <f>(P32-P33)*P30</f>
        <v>5234811.223668728</v>
      </c>
      <c r="Q54" s="1285">
        <f>SUM(R54:U54)</f>
        <v>10702291.286267746</v>
      </c>
      <c r="R54" s="1283">
        <f>H54+M54</f>
        <v>-1278.6659026025968</v>
      </c>
      <c r="S54" s="1283">
        <f>I54+N54</f>
        <v>-57.84894314363742</v>
      </c>
      <c r="T54" s="1283">
        <f>J54+O54</f>
        <v>294327.45757675421</v>
      </c>
      <c r="U54" s="1286">
        <f>K54+P54</f>
        <v>10409300.343536738</v>
      </c>
    </row>
    <row r="55" spans="4:21" s="1259" customFormat="1" ht="22.5">
      <c r="D55" s="1298"/>
      <c r="E55" s="1267" t="s">
        <v>1156</v>
      </c>
      <c r="F55" s="1267"/>
      <c r="G55" s="1299"/>
      <c r="H55" s="1299"/>
      <c r="I55" s="1299"/>
      <c r="J55" s="1299"/>
      <c r="K55" s="1300"/>
      <c r="L55" s="1301"/>
      <c r="M55" s="1299"/>
      <c r="N55" s="1299"/>
      <c r="O55" s="1299"/>
      <c r="P55" s="1302"/>
      <c r="Q55" s="1301"/>
      <c r="R55" s="1299"/>
      <c r="S55" s="1299"/>
      <c r="T55" s="1299"/>
      <c r="U55" s="1302"/>
    </row>
    <row r="56" spans="4:21">
      <c r="D56" s="1326" t="s">
        <v>1003</v>
      </c>
      <c r="E56" s="1327" t="s">
        <v>1157</v>
      </c>
      <c r="F56" s="1288" t="s">
        <v>318</v>
      </c>
      <c r="G56" s="1283">
        <f>SUM(H56:K56)+G57</f>
        <v>5353800.3370505068</v>
      </c>
      <c r="H56" s="1283">
        <f>H58+H59</f>
        <v>4406358.8590829205</v>
      </c>
      <c r="I56" s="1283">
        <f>I58+I59</f>
        <v>1175779.567576047</v>
      </c>
      <c r="J56" s="1283">
        <f>J58+J59</f>
        <v>28146.333884742358</v>
      </c>
      <c r="K56" s="1284">
        <f>K58+K59</f>
        <v>-256484.42349320324</v>
      </c>
      <c r="L56" s="1285">
        <f>SUM(M56:P56)+L57</f>
        <v>5348490.949542731</v>
      </c>
      <c r="M56" s="1283">
        <f>M58+M59</f>
        <v>4730826.997041014</v>
      </c>
      <c r="N56" s="1283">
        <f>N58+N59</f>
        <v>1052474.0826353231</v>
      </c>
      <c r="O56" s="1283">
        <f>O58+O59</f>
        <v>-121698.46188718104</v>
      </c>
      <c r="P56" s="1286">
        <f>P58+P59</f>
        <v>-313111.66824642604</v>
      </c>
      <c r="Q56" s="1285">
        <f>SUM(R56:U56)+Q57</f>
        <v>10702291.286593238</v>
      </c>
      <c r="R56" s="1283">
        <f>R58+R59</f>
        <v>9137185.8561239354</v>
      </c>
      <c r="S56" s="1283">
        <f>S58+S59</f>
        <v>2228253.6502113701</v>
      </c>
      <c r="T56" s="1283">
        <f>T58+T59</f>
        <v>-93552.12800243868</v>
      </c>
      <c r="U56" s="1286">
        <f>U58+U59</f>
        <v>-569596.09173962928</v>
      </c>
    </row>
    <row r="57" spans="4:21">
      <c r="D57" s="1326" t="s">
        <v>205</v>
      </c>
      <c r="E57" s="1328" t="s">
        <v>1158</v>
      </c>
      <c r="F57" s="1288"/>
      <c r="G57" s="1283">
        <v>0</v>
      </c>
      <c r="H57" s="1317"/>
      <c r="I57" s="1317"/>
      <c r="J57" s="1317"/>
      <c r="K57" s="1317"/>
      <c r="L57" s="1285">
        <v>0</v>
      </c>
      <c r="M57" s="1317"/>
      <c r="N57" s="1317"/>
      <c r="O57" s="1317"/>
      <c r="P57" s="1317"/>
      <c r="Q57" s="1285">
        <f>(G57+L57)</f>
        <v>0</v>
      </c>
      <c r="R57" s="1317"/>
      <c r="S57" s="1317"/>
      <c r="T57" s="1317"/>
      <c r="U57" s="1318"/>
    </row>
    <row r="58" spans="4:21">
      <c r="D58" s="1326" t="s">
        <v>207</v>
      </c>
      <c r="E58" s="1327" t="s">
        <v>1159</v>
      </c>
      <c r="F58" s="1288" t="s">
        <v>318</v>
      </c>
      <c r="G58" s="1283">
        <f>SUM(H58:K58)</f>
        <v>5353800.3370505068</v>
      </c>
      <c r="H58" s="1329">
        <v>4406358.8590829205</v>
      </c>
      <c r="I58" s="1329">
        <v>1175779.567576047</v>
      </c>
      <c r="J58" s="1329">
        <v>28146.333884742358</v>
      </c>
      <c r="K58" s="1330">
        <v>-256484.42349320324</v>
      </c>
      <c r="L58" s="1285">
        <f>SUM(M58:P58)</f>
        <v>5348490.949542731</v>
      </c>
      <c r="M58" s="1329">
        <v>4730826.997041014</v>
      </c>
      <c r="N58" s="1329">
        <v>1052474.0826353231</v>
      </c>
      <c r="O58" s="1329">
        <v>-121698.46188718104</v>
      </c>
      <c r="P58" s="1331">
        <v>-313111.66824642604</v>
      </c>
      <c r="Q58" s="1285">
        <f>SUM(R58:U58)</f>
        <v>10702291.286593238</v>
      </c>
      <c r="R58" s="1283">
        <f t="shared" ref="R58:U59" si="1">H58+M58</f>
        <v>9137185.8561239354</v>
      </c>
      <c r="S58" s="1283">
        <f t="shared" si="1"/>
        <v>2228253.6502113701</v>
      </c>
      <c r="T58" s="1283">
        <f t="shared" si="1"/>
        <v>-93552.12800243868</v>
      </c>
      <c r="U58" s="1286">
        <f t="shared" si="1"/>
        <v>-569596.09173962928</v>
      </c>
    </row>
    <row r="59" spans="4:21">
      <c r="D59" s="1326" t="s">
        <v>1160</v>
      </c>
      <c r="E59" s="1327" t="s">
        <v>1161</v>
      </c>
      <c r="F59" s="1288" t="s">
        <v>318</v>
      </c>
      <c r="G59" s="1283">
        <f>SUM(H59:K59)</f>
        <v>0</v>
      </c>
      <c r="H59" s="1283">
        <v>0</v>
      </c>
      <c r="I59" s="1283">
        <v>0</v>
      </c>
      <c r="J59" s="1283">
        <v>0</v>
      </c>
      <c r="K59" s="1284">
        <v>0</v>
      </c>
      <c r="L59" s="1285">
        <f>SUM(M59:P59)</f>
        <v>0</v>
      </c>
      <c r="M59" s="1283">
        <v>0</v>
      </c>
      <c r="N59" s="1283">
        <v>0</v>
      </c>
      <c r="O59" s="1283">
        <v>0</v>
      </c>
      <c r="P59" s="1286">
        <v>0</v>
      </c>
      <c r="Q59" s="1285">
        <f>SUM(R59:U59)</f>
        <v>0</v>
      </c>
      <c r="R59" s="1283">
        <f t="shared" si="1"/>
        <v>0</v>
      </c>
      <c r="S59" s="1283">
        <f t="shared" si="1"/>
        <v>0</v>
      </c>
      <c r="T59" s="1283">
        <f t="shared" si="1"/>
        <v>0</v>
      </c>
      <c r="U59" s="1286">
        <f t="shared" si="1"/>
        <v>0</v>
      </c>
    </row>
    <row r="60" spans="4:21">
      <c r="D60" s="1326" t="s">
        <v>1162</v>
      </c>
      <c r="E60" s="1327" t="s">
        <v>1163</v>
      </c>
      <c r="F60" s="1288" t="s">
        <v>1136</v>
      </c>
      <c r="G60" s="1283">
        <f t="shared" ref="G60:P60" si="2">(G58/6/(G25-G26)*1000)</f>
        <v>341815.08072223113</v>
      </c>
      <c r="H60" s="1283">
        <f t="shared" si="2"/>
        <v>425780.06740977027</v>
      </c>
      <c r="I60" s="1283">
        <f t="shared" si="2"/>
        <v>638446.03686894593</v>
      </c>
      <c r="J60" s="1283">
        <f t="shared" si="2"/>
        <v>14176.514421521337</v>
      </c>
      <c r="K60" s="1284">
        <f t="shared" si="2"/>
        <v>-172496.0219190286</v>
      </c>
      <c r="L60" s="1285">
        <f t="shared" si="2"/>
        <v>334720.29717464017</v>
      </c>
      <c r="M60" s="1283">
        <f t="shared" si="2"/>
        <v>420748.35998826846</v>
      </c>
      <c r="N60" s="1283">
        <f t="shared" si="2"/>
        <v>624138.01500223705</v>
      </c>
      <c r="O60" s="1283">
        <f t="shared" si="2"/>
        <v>-60977.155577016521</v>
      </c>
      <c r="P60" s="1286">
        <f t="shared" si="2"/>
        <v>-297335.57623408339</v>
      </c>
      <c r="Q60" s="1285">
        <f>(Q58/12/(Q25-Q26)*1000)</f>
        <v>338232.24734647374</v>
      </c>
      <c r="R60" s="1283">
        <f>(R58/12/(R25-R26)*1000)</f>
        <v>423159.94184330531</v>
      </c>
      <c r="S60" s="1283">
        <f>(S58/12/(S25-S26)*1000)</f>
        <v>631607.03532000608</v>
      </c>
      <c r="T60" s="1283">
        <f>(T58/12/(T25-T26)*1000)</f>
        <v>-23498.332697343059</v>
      </c>
      <c r="U60" s="1286">
        <f>(U58/12/(U25-U26)*1000)</f>
        <v>-224254.074543433</v>
      </c>
    </row>
    <row r="61" spans="4:21">
      <c r="D61" s="1326" t="s">
        <v>417</v>
      </c>
      <c r="E61" s="1327" t="s">
        <v>1164</v>
      </c>
      <c r="F61" s="1288" t="s">
        <v>1141</v>
      </c>
      <c r="G61" s="1283">
        <f t="shared" ref="G61:U61" si="3">(G59/(G27-G28))</f>
        <v>0</v>
      </c>
      <c r="H61" s="1283">
        <f t="shared" si="3"/>
        <v>0</v>
      </c>
      <c r="I61" s="1283">
        <f t="shared" si="3"/>
        <v>0</v>
      </c>
      <c r="J61" s="1283">
        <f t="shared" si="3"/>
        <v>0</v>
      </c>
      <c r="K61" s="1284">
        <f t="shared" si="3"/>
        <v>0</v>
      </c>
      <c r="L61" s="1285">
        <f t="shared" si="3"/>
        <v>0</v>
      </c>
      <c r="M61" s="1283">
        <f t="shared" si="3"/>
        <v>0</v>
      </c>
      <c r="N61" s="1283">
        <f t="shared" si="3"/>
        <v>0</v>
      </c>
      <c r="O61" s="1283">
        <f t="shared" si="3"/>
        <v>0</v>
      </c>
      <c r="P61" s="1286">
        <f t="shared" si="3"/>
        <v>0</v>
      </c>
      <c r="Q61" s="1285">
        <f t="shared" si="3"/>
        <v>0</v>
      </c>
      <c r="R61" s="1283">
        <f t="shared" si="3"/>
        <v>0</v>
      </c>
      <c r="S61" s="1283">
        <f t="shared" si="3"/>
        <v>0</v>
      </c>
      <c r="T61" s="1283">
        <f t="shared" si="3"/>
        <v>0</v>
      </c>
      <c r="U61" s="1286">
        <f t="shared" si="3"/>
        <v>0</v>
      </c>
    </row>
    <row r="62" spans="4:21" ht="16.5" customHeight="1">
      <c r="D62" s="1332" t="s">
        <v>418</v>
      </c>
      <c r="E62" s="1333" t="s">
        <v>1165</v>
      </c>
      <c r="F62" s="1274" t="s">
        <v>1166</v>
      </c>
      <c r="G62" s="1317"/>
      <c r="H62" s="1275">
        <f>H10+H60</f>
        <v>537675.71996272134</v>
      </c>
      <c r="I62" s="1275">
        <f>I10+I60</f>
        <v>895752.92991427635</v>
      </c>
      <c r="J62" s="1275">
        <f>J10+J60</f>
        <v>779254.61974510923</v>
      </c>
      <c r="K62" s="1276">
        <f>K10+K60</f>
        <v>951998.30962536717</v>
      </c>
      <c r="L62" s="1316"/>
      <c r="M62" s="1275">
        <f>M10+M60</f>
        <v>537675.72427880042</v>
      </c>
      <c r="N62" s="1275">
        <f>N10+N60</f>
        <v>895752.93199651351</v>
      </c>
      <c r="O62" s="1275">
        <f>O10+O60</f>
        <v>779254.62403539999</v>
      </c>
      <c r="P62" s="1278">
        <f>P10+P60</f>
        <v>951998.31265427382</v>
      </c>
      <c r="Q62" s="1316"/>
      <c r="R62" s="1275">
        <f>R10+R60</f>
        <v>537563.32588831487</v>
      </c>
      <c r="S62" s="1275">
        <f>S10+S60</f>
        <v>895907.40573754092</v>
      </c>
      <c r="T62" s="1275">
        <f>T10+T60</f>
        <v>777352.65443248197</v>
      </c>
      <c r="U62" s="1278">
        <f>U10+U60</f>
        <v>959208.70434961817</v>
      </c>
    </row>
    <row r="63" spans="4:21" ht="22.5">
      <c r="D63" s="1332" t="s">
        <v>1167</v>
      </c>
      <c r="E63" s="1334" t="s">
        <v>1168</v>
      </c>
      <c r="F63" s="1274" t="s">
        <v>1141</v>
      </c>
      <c r="G63" s="1317"/>
      <c r="H63" s="1275">
        <f>H17+H61</f>
        <v>171.98247740325604</v>
      </c>
      <c r="I63" s="1275">
        <f>I17+I61</f>
        <v>234.16392004836086</v>
      </c>
      <c r="J63" s="1275">
        <f>J17+J61</f>
        <v>415.63761881812627</v>
      </c>
      <c r="K63" s="1276">
        <f>K17+K61</f>
        <v>732.70716551128066</v>
      </c>
      <c r="L63" s="1316"/>
      <c r="M63" s="1275">
        <f>M17+M61</f>
        <v>181.61299924111091</v>
      </c>
      <c r="N63" s="1275">
        <f>N17+N61</f>
        <v>247.27626047533607</v>
      </c>
      <c r="O63" s="1275">
        <f>O17+O61</f>
        <v>438.91358528124027</v>
      </c>
      <c r="P63" s="1278">
        <f>P17+P61</f>
        <v>773.73925329093493</v>
      </c>
      <c r="Q63" s="1316">
        <f>+Q58/(Q25-Q26)*147</f>
        <v>596641.68431917974</v>
      </c>
      <c r="R63" s="1275">
        <f>R17+R61</f>
        <v>176.80037149939119</v>
      </c>
      <c r="S63" s="1275">
        <f>S17+S61</f>
        <v>240.65677230977499</v>
      </c>
      <c r="T63" s="1275">
        <f>T17+T61</f>
        <v>426.96083593814899</v>
      </c>
      <c r="U63" s="1278">
        <f>U17+U61</f>
        <v>752.35717033103731</v>
      </c>
    </row>
    <row r="64" spans="4:21">
      <c r="D64" s="1332" t="s">
        <v>1169</v>
      </c>
      <c r="E64" s="1333" t="s">
        <v>256</v>
      </c>
      <c r="F64" s="1274" t="s">
        <v>1141</v>
      </c>
      <c r="G64" s="1317"/>
      <c r="H64" s="1275">
        <v>1224.8399080142372</v>
      </c>
      <c r="I64" s="1275">
        <v>2019.9939198774571</v>
      </c>
      <c r="J64" s="1275">
        <v>1964.1576183116119</v>
      </c>
      <c r="K64" s="1276">
        <v>2456.177164833055</v>
      </c>
      <c r="L64" s="1316"/>
      <c r="M64" s="1275">
        <v>1224.8359664242623</v>
      </c>
      <c r="N64" s="1275">
        <v>2019.991818827589</v>
      </c>
      <c r="O64" s="1275">
        <v>1964.1562161207214</v>
      </c>
      <c r="P64" s="1278">
        <v>2456.1789946315716</v>
      </c>
      <c r="Q64" s="1316"/>
      <c r="R64" s="1275">
        <v>1224.3997789222917</v>
      </c>
      <c r="S64" s="1275">
        <v>2020.5010456102052</v>
      </c>
      <c r="T64" s="1275">
        <v>1959.9727999289967</v>
      </c>
      <c r="U64" s="1278">
        <v>2471.4985638061189</v>
      </c>
    </row>
    <row r="65" spans="3:21">
      <c r="D65" s="1326" t="s">
        <v>1170</v>
      </c>
      <c r="E65" s="1335" t="s">
        <v>1171</v>
      </c>
      <c r="F65" s="1336" t="s">
        <v>276</v>
      </c>
      <c r="G65" s="1283">
        <f>H65+I65+J65+K65</f>
        <v>457758.54645382531</v>
      </c>
      <c r="H65" s="1283">
        <v>79351.818220000045</v>
      </c>
      <c r="I65" s="1283">
        <v>45249.202293825212</v>
      </c>
      <c r="J65" s="1283">
        <v>245830.98749999999</v>
      </c>
      <c r="K65" s="1286">
        <v>87326.538440000004</v>
      </c>
      <c r="L65" s="1285">
        <f>M65+N65+O65+P65</f>
        <v>457758.54645382531</v>
      </c>
      <c r="M65" s="1283">
        <v>79351.818220000045</v>
      </c>
      <c r="N65" s="1283">
        <v>45249.202293825212</v>
      </c>
      <c r="O65" s="1283">
        <v>245830.98749999999</v>
      </c>
      <c r="P65" s="1286">
        <v>87326.538440000004</v>
      </c>
      <c r="Q65" s="1285">
        <f>R65+S65+T65+U65</f>
        <v>457758.54645382531</v>
      </c>
      <c r="R65" s="1283">
        <v>79351.818220000045</v>
      </c>
      <c r="S65" s="1283">
        <v>45249.202293825212</v>
      </c>
      <c r="T65" s="1283">
        <v>245830.98749999999</v>
      </c>
      <c r="U65" s="1286">
        <v>87326.538440000004</v>
      </c>
    </row>
    <row r="66" spans="3:21">
      <c r="D66" s="1326" t="s">
        <v>1172</v>
      </c>
      <c r="E66" s="1335" t="s">
        <v>1173</v>
      </c>
      <c r="F66" s="1336" t="s">
        <v>600</v>
      </c>
      <c r="G66" s="1283">
        <f t="shared" ref="G66:U66" si="4">(G11/G65)</f>
        <v>21.094961377035201</v>
      </c>
      <c r="H66" s="1283">
        <f t="shared" si="4"/>
        <v>28.180900294829144</v>
      </c>
      <c r="I66" s="1283">
        <f t="shared" si="4"/>
        <v>19.013868473975283</v>
      </c>
      <c r="J66" s="1283">
        <f t="shared" si="4"/>
        <v>20.015157811135357</v>
      </c>
      <c r="K66" s="1284">
        <f t="shared" si="4"/>
        <v>18.77418730457989</v>
      </c>
      <c r="L66" s="1285">
        <f t="shared" si="4"/>
        <v>21.281771577191254</v>
      </c>
      <c r="M66" s="1283">
        <f t="shared" si="4"/>
        <v>29.258556272196483</v>
      </c>
      <c r="N66" s="1283">
        <f t="shared" si="4"/>
        <v>19.013868485420335</v>
      </c>
      <c r="O66" s="1283">
        <f t="shared" si="4"/>
        <v>20.01515782318306</v>
      </c>
      <c r="P66" s="1286">
        <f t="shared" si="4"/>
        <v>18.774187315880631</v>
      </c>
      <c r="Q66" s="1285">
        <f t="shared" si="4"/>
        <v>42.376732954226455</v>
      </c>
      <c r="R66" s="1283">
        <f t="shared" si="4"/>
        <v>57.439456567025623</v>
      </c>
      <c r="S66" s="1283">
        <f t="shared" si="4"/>
        <v>38.027736959395618</v>
      </c>
      <c r="T66" s="1283">
        <f t="shared" si="4"/>
        <v>40.03031563431842</v>
      </c>
      <c r="U66" s="1286">
        <f t="shared" si="4"/>
        <v>37.548374620460521</v>
      </c>
    </row>
    <row r="67" spans="3:21" ht="21" customHeight="1">
      <c r="G67" s="2535" t="s">
        <v>1174</v>
      </c>
      <c r="H67" s="2535"/>
      <c r="I67" s="2535"/>
      <c r="J67" s="2535"/>
      <c r="K67" s="2535"/>
      <c r="L67" s="2535"/>
      <c r="M67" s="2536"/>
      <c r="N67" s="2536"/>
      <c r="O67" s="2536"/>
      <c r="P67" s="2536"/>
      <c r="Q67" s="2536"/>
      <c r="R67" s="2536"/>
      <c r="S67" s="2536"/>
      <c r="T67" s="2536"/>
      <c r="U67" s="2536"/>
    </row>
    <row r="68" spans="3:21" ht="11.25" customHeight="1">
      <c r="G68" s="2516" t="s">
        <v>2161</v>
      </c>
      <c r="H68" s="2517"/>
      <c r="I68" s="2517"/>
      <c r="J68" s="2517"/>
      <c r="K68" s="2517"/>
      <c r="L68" s="2518"/>
      <c r="M68" s="2519"/>
      <c r="N68" s="2519"/>
      <c r="O68" s="2519"/>
      <c r="P68" s="2519"/>
      <c r="Q68" s="2519"/>
      <c r="R68" s="2519"/>
      <c r="S68" s="2519"/>
      <c r="T68" s="2519"/>
      <c r="U68" s="2519"/>
    </row>
    <row r="69" spans="3:21" ht="11.25" customHeight="1">
      <c r="G69" s="2516" t="s">
        <v>1175</v>
      </c>
      <c r="H69" s="2517"/>
      <c r="I69" s="2517"/>
      <c r="J69" s="2517"/>
      <c r="K69" s="2517"/>
      <c r="L69" s="2518"/>
      <c r="M69" s="2519"/>
      <c r="N69" s="2519"/>
      <c r="O69" s="2519"/>
      <c r="P69" s="2519"/>
      <c r="Q69" s="2519"/>
      <c r="R69" s="2519"/>
      <c r="S69" s="2519"/>
      <c r="T69" s="2519"/>
      <c r="U69" s="2519"/>
    </row>
    <row r="70" spans="3:21" ht="11.25" customHeight="1">
      <c r="G70" s="1337"/>
      <c r="H70" s="1337"/>
      <c r="I70" s="1337"/>
      <c r="J70" s="1337"/>
      <c r="K70" s="1337"/>
      <c r="L70" s="1337"/>
      <c r="M70" s="1338"/>
      <c r="N70" s="1338"/>
      <c r="O70" s="1338"/>
      <c r="P70" s="1338"/>
      <c r="Q70" s="1338"/>
      <c r="R70" s="1338"/>
      <c r="S70" s="1338"/>
      <c r="T70" s="1338"/>
    </row>
    <row r="71" spans="3:21" ht="39.950000000000003" customHeight="1">
      <c r="D71" s="2520" t="s">
        <v>1176</v>
      </c>
      <c r="E71" s="2520"/>
      <c r="F71" s="2520"/>
      <c r="G71" s="1339"/>
      <c r="H71" s="1339"/>
      <c r="I71" s="1339"/>
      <c r="J71" s="1339"/>
      <c r="K71" s="1340"/>
      <c r="L71" s="1341"/>
      <c r="M71" s="1339"/>
      <c r="N71" s="1339"/>
      <c r="O71" s="1339"/>
      <c r="P71" s="1342"/>
      <c r="Q71" s="1341"/>
      <c r="R71" s="1339"/>
      <c r="S71" s="1339"/>
      <c r="T71" s="1339"/>
      <c r="U71" s="1342"/>
    </row>
    <row r="72" spans="3:21" ht="12" customHeight="1">
      <c r="D72" s="1272" t="s">
        <v>1177</v>
      </c>
      <c r="E72" s="1273" t="s">
        <v>1178</v>
      </c>
      <c r="F72" s="1274" t="s">
        <v>1166</v>
      </c>
      <c r="G72" s="1343"/>
      <c r="H72" s="1309">
        <v>537675.72</v>
      </c>
      <c r="I72" s="1309">
        <v>895752.92999999993</v>
      </c>
      <c r="J72" s="1309">
        <v>779254.62</v>
      </c>
      <c r="K72" s="1344">
        <v>951998.31</v>
      </c>
      <c r="L72" s="1345"/>
      <c r="M72" s="1309">
        <v>537675.72424737364</v>
      </c>
      <c r="N72" s="1309">
        <v>895752.93192351086</v>
      </c>
      <c r="O72" s="1309">
        <v>779254.62380956905</v>
      </c>
      <c r="P72" s="1310">
        <v>951998.31231848802</v>
      </c>
      <c r="Q72" s="1345"/>
      <c r="R72" s="1309">
        <f>+M72/H72*100</f>
        <v>100.00000078995079</v>
      </c>
      <c r="S72" s="1309">
        <f t="shared" ref="S72:U74" si="5">+N72/I72*100</f>
        <v>100.00000021473676</v>
      </c>
      <c r="T72" s="1309">
        <f t="shared" si="5"/>
        <v>100.00000048887347</v>
      </c>
      <c r="U72" s="1309">
        <f t="shared" si="5"/>
        <v>100.00000024353908</v>
      </c>
    </row>
    <row r="73" spans="3:21" ht="24" customHeight="1">
      <c r="D73" s="1272" t="s">
        <v>1179</v>
      </c>
      <c r="E73" s="1273" t="s">
        <v>1180</v>
      </c>
      <c r="F73" s="1274" t="s">
        <v>1141</v>
      </c>
      <c r="G73" s="1343"/>
      <c r="H73" s="1309">
        <v>171.98247740325604</v>
      </c>
      <c r="I73" s="1309">
        <v>234.16392004836086</v>
      </c>
      <c r="J73" s="1309">
        <v>415.63761881812627</v>
      </c>
      <c r="K73" s="1344">
        <v>732.70716551128066</v>
      </c>
      <c r="L73" s="1345"/>
      <c r="M73" s="1309">
        <v>181.6129992472676</v>
      </c>
      <c r="N73" s="1309">
        <v>247.27626048371877</v>
      </c>
      <c r="O73" s="1309">
        <v>438.91358529611949</v>
      </c>
      <c r="P73" s="1310">
        <v>773.73925331716464</v>
      </c>
      <c r="Q73" s="1345"/>
      <c r="R73" s="1309">
        <f>+M73/H73*100</f>
        <v>105.59971108069945</v>
      </c>
      <c r="S73" s="1309">
        <f t="shared" si="5"/>
        <v>105.59964166667943</v>
      </c>
      <c r="T73" s="1309">
        <f t="shared" si="5"/>
        <v>105.60006251219004</v>
      </c>
      <c r="U73" s="1309">
        <f t="shared" si="5"/>
        <v>105.60006640268789</v>
      </c>
    </row>
    <row r="74" spans="3:21" ht="12" customHeight="1">
      <c r="D74" s="1272" t="s">
        <v>1181</v>
      </c>
      <c r="E74" s="1273" t="s">
        <v>1182</v>
      </c>
      <c r="F74" s="1274" t="s">
        <v>1141</v>
      </c>
      <c r="G74" s="1343"/>
      <c r="H74" s="1309">
        <v>1224.8399080872348</v>
      </c>
      <c r="I74" s="1309">
        <v>2019.9939200483609</v>
      </c>
      <c r="J74" s="1309">
        <v>1964.1576188181264</v>
      </c>
      <c r="K74" s="1344">
        <v>2456.1771655112798</v>
      </c>
      <c r="L74" s="1345"/>
      <c r="M74" s="1309">
        <v>1224.8359663694432</v>
      </c>
      <c r="N74" s="1309">
        <v>2019.9918186914979</v>
      </c>
      <c r="O74" s="1309">
        <v>1964.1562156935795</v>
      </c>
      <c r="P74" s="1310">
        <v>2456.1789940643766</v>
      </c>
      <c r="Q74" s="1345"/>
      <c r="R74" s="1309">
        <f>+M74/H74*100</f>
        <v>99.999678185061939</v>
      </c>
      <c r="S74" s="1309">
        <f t="shared" si="5"/>
        <v>99.999895972119418</v>
      </c>
      <c r="T74" s="1309">
        <f t="shared" si="5"/>
        <v>99.999928563546362</v>
      </c>
      <c r="U74" s="1309">
        <f t="shared" si="5"/>
        <v>100.00007444711736</v>
      </c>
    </row>
    <row r="75" spans="3:21" ht="11.25" hidden="1" customHeight="1"/>
    <row r="77" spans="3:21" ht="34.5">
      <c r="C77" s="1346"/>
      <c r="G77" s="2521" t="s">
        <v>1183</v>
      </c>
      <c r="H77" s="2522"/>
      <c r="I77" s="2522"/>
      <c r="J77" s="2522"/>
      <c r="K77" s="2522"/>
      <c r="L77" s="2523"/>
      <c r="M77" s="2519"/>
      <c r="N77" s="2519"/>
      <c r="O77" s="2519"/>
      <c r="P77" s="2519"/>
      <c r="Q77" s="2519"/>
      <c r="R77" s="2519"/>
      <c r="S77" s="2519"/>
      <c r="T77" s="2519"/>
      <c r="U77" s="2519"/>
    </row>
  </sheetData>
  <mergeCells count="21">
    <mergeCell ref="G68:L68"/>
    <mergeCell ref="M68:U68"/>
    <mergeCell ref="D4:F4"/>
    <mergeCell ref="D5:F5"/>
    <mergeCell ref="G5:U5"/>
    <mergeCell ref="D6:D7"/>
    <mergeCell ref="E6:E7"/>
    <mergeCell ref="F6:F7"/>
    <mergeCell ref="G6:K6"/>
    <mergeCell ref="L6:P6"/>
    <mergeCell ref="Q6:U6"/>
    <mergeCell ref="G8:K8"/>
    <mergeCell ref="L8:P8"/>
    <mergeCell ref="Q8:U8"/>
    <mergeCell ref="G67:L67"/>
    <mergeCell ref="M67:U67"/>
    <mergeCell ref="G69:L69"/>
    <mergeCell ref="M69:U69"/>
    <mergeCell ref="D71:F71"/>
    <mergeCell ref="G77:L77"/>
    <mergeCell ref="M77:U77"/>
  </mergeCells>
  <conditionalFormatting sqref="Q56">
    <cfRule type="expression" dxfId="0" priority="1" stopIfTrue="1">
      <formula>ROUND(Q56,-1)&lt;&gt;ROUND(Q54,-1)</formula>
    </cfRule>
  </conditionalFormatting>
  <dataValidations count="2">
    <dataValidation type="textLength" operator="lessThanOrEqual" allowBlank="1" showInputMessage="1" showErrorMessage="1" sqref="M68:M69 JI68:JI69 TE68:TE69 ADA68:ADA69 AMW68:AMW69 AWS68:AWS69 BGO68:BGO69 BQK68:BQK69 CAG68:CAG69 CKC68:CKC69 CTY68:CTY69 DDU68:DDU69 DNQ68:DNQ69 DXM68:DXM69 EHI68:EHI69 ERE68:ERE69 FBA68:FBA69 FKW68:FKW69 FUS68:FUS69 GEO68:GEO69 GOK68:GOK69 GYG68:GYG69 HIC68:HIC69 HRY68:HRY69 IBU68:IBU69 ILQ68:ILQ69 IVM68:IVM69 JFI68:JFI69 JPE68:JPE69 JZA68:JZA69 KIW68:KIW69 KSS68:KSS69 LCO68:LCO69 LMK68:LMK69 LWG68:LWG69 MGC68:MGC69 MPY68:MPY69 MZU68:MZU69 NJQ68:NJQ69 NTM68:NTM69 ODI68:ODI69 ONE68:ONE69 OXA68:OXA69 PGW68:PGW69 PQS68:PQS69 QAO68:QAO69 QKK68:QKK69 QUG68:QUG69 REC68:REC69 RNY68:RNY69 RXU68:RXU69 SHQ68:SHQ69 SRM68:SRM69 TBI68:TBI69 TLE68:TLE69 TVA68:TVA69 UEW68:UEW69 UOS68:UOS69 UYO68:UYO69 VIK68:VIK69 VSG68:VSG69 WCC68:WCC69 WLY68:WLY69 WVU68:WVU69 M65604:M65605 JI65604:JI65605 TE65604:TE65605 ADA65604:ADA65605 AMW65604:AMW65605 AWS65604:AWS65605 BGO65604:BGO65605 BQK65604:BQK65605 CAG65604:CAG65605 CKC65604:CKC65605 CTY65604:CTY65605 DDU65604:DDU65605 DNQ65604:DNQ65605 DXM65604:DXM65605 EHI65604:EHI65605 ERE65604:ERE65605 FBA65604:FBA65605 FKW65604:FKW65605 FUS65604:FUS65605 GEO65604:GEO65605 GOK65604:GOK65605 GYG65604:GYG65605 HIC65604:HIC65605 HRY65604:HRY65605 IBU65604:IBU65605 ILQ65604:ILQ65605 IVM65604:IVM65605 JFI65604:JFI65605 JPE65604:JPE65605 JZA65604:JZA65605 KIW65604:KIW65605 KSS65604:KSS65605 LCO65604:LCO65605 LMK65604:LMK65605 LWG65604:LWG65605 MGC65604:MGC65605 MPY65604:MPY65605 MZU65604:MZU65605 NJQ65604:NJQ65605 NTM65604:NTM65605 ODI65604:ODI65605 ONE65604:ONE65605 OXA65604:OXA65605 PGW65604:PGW65605 PQS65604:PQS65605 QAO65604:QAO65605 QKK65604:QKK65605 QUG65604:QUG65605 REC65604:REC65605 RNY65604:RNY65605 RXU65604:RXU65605 SHQ65604:SHQ65605 SRM65604:SRM65605 TBI65604:TBI65605 TLE65604:TLE65605 TVA65604:TVA65605 UEW65604:UEW65605 UOS65604:UOS65605 UYO65604:UYO65605 VIK65604:VIK65605 VSG65604:VSG65605 WCC65604:WCC65605 WLY65604:WLY65605 WVU65604:WVU65605 M131140:M131141 JI131140:JI131141 TE131140:TE131141 ADA131140:ADA131141 AMW131140:AMW131141 AWS131140:AWS131141 BGO131140:BGO131141 BQK131140:BQK131141 CAG131140:CAG131141 CKC131140:CKC131141 CTY131140:CTY131141 DDU131140:DDU131141 DNQ131140:DNQ131141 DXM131140:DXM131141 EHI131140:EHI131141 ERE131140:ERE131141 FBA131140:FBA131141 FKW131140:FKW131141 FUS131140:FUS131141 GEO131140:GEO131141 GOK131140:GOK131141 GYG131140:GYG131141 HIC131140:HIC131141 HRY131140:HRY131141 IBU131140:IBU131141 ILQ131140:ILQ131141 IVM131140:IVM131141 JFI131140:JFI131141 JPE131140:JPE131141 JZA131140:JZA131141 KIW131140:KIW131141 KSS131140:KSS131141 LCO131140:LCO131141 LMK131140:LMK131141 LWG131140:LWG131141 MGC131140:MGC131141 MPY131140:MPY131141 MZU131140:MZU131141 NJQ131140:NJQ131141 NTM131140:NTM131141 ODI131140:ODI131141 ONE131140:ONE131141 OXA131140:OXA131141 PGW131140:PGW131141 PQS131140:PQS131141 QAO131140:QAO131141 QKK131140:QKK131141 QUG131140:QUG131141 REC131140:REC131141 RNY131140:RNY131141 RXU131140:RXU131141 SHQ131140:SHQ131141 SRM131140:SRM131141 TBI131140:TBI131141 TLE131140:TLE131141 TVA131140:TVA131141 UEW131140:UEW131141 UOS131140:UOS131141 UYO131140:UYO131141 VIK131140:VIK131141 VSG131140:VSG131141 WCC131140:WCC131141 WLY131140:WLY131141 WVU131140:WVU131141 M196676:M196677 JI196676:JI196677 TE196676:TE196677 ADA196676:ADA196677 AMW196676:AMW196677 AWS196676:AWS196677 BGO196676:BGO196677 BQK196676:BQK196677 CAG196676:CAG196677 CKC196676:CKC196677 CTY196676:CTY196677 DDU196676:DDU196677 DNQ196676:DNQ196677 DXM196676:DXM196677 EHI196676:EHI196677 ERE196676:ERE196677 FBA196676:FBA196677 FKW196676:FKW196677 FUS196676:FUS196677 GEO196676:GEO196677 GOK196676:GOK196677 GYG196676:GYG196677 HIC196676:HIC196677 HRY196676:HRY196677 IBU196676:IBU196677 ILQ196676:ILQ196677 IVM196676:IVM196677 JFI196676:JFI196677 JPE196676:JPE196677 JZA196676:JZA196677 KIW196676:KIW196677 KSS196676:KSS196677 LCO196676:LCO196677 LMK196676:LMK196677 LWG196676:LWG196677 MGC196676:MGC196677 MPY196676:MPY196677 MZU196676:MZU196677 NJQ196676:NJQ196677 NTM196676:NTM196677 ODI196676:ODI196677 ONE196676:ONE196677 OXA196676:OXA196677 PGW196676:PGW196677 PQS196676:PQS196677 QAO196676:QAO196677 QKK196676:QKK196677 QUG196676:QUG196677 REC196676:REC196677 RNY196676:RNY196677 RXU196676:RXU196677 SHQ196676:SHQ196677 SRM196676:SRM196677 TBI196676:TBI196677 TLE196676:TLE196677 TVA196676:TVA196677 UEW196676:UEW196677 UOS196676:UOS196677 UYO196676:UYO196677 VIK196676:VIK196677 VSG196676:VSG196677 WCC196676:WCC196677 WLY196676:WLY196677 WVU196676:WVU196677 M262212:M262213 JI262212:JI262213 TE262212:TE262213 ADA262212:ADA262213 AMW262212:AMW262213 AWS262212:AWS262213 BGO262212:BGO262213 BQK262212:BQK262213 CAG262212:CAG262213 CKC262212:CKC262213 CTY262212:CTY262213 DDU262212:DDU262213 DNQ262212:DNQ262213 DXM262212:DXM262213 EHI262212:EHI262213 ERE262212:ERE262213 FBA262212:FBA262213 FKW262212:FKW262213 FUS262212:FUS262213 GEO262212:GEO262213 GOK262212:GOK262213 GYG262212:GYG262213 HIC262212:HIC262213 HRY262212:HRY262213 IBU262212:IBU262213 ILQ262212:ILQ262213 IVM262212:IVM262213 JFI262212:JFI262213 JPE262212:JPE262213 JZA262212:JZA262213 KIW262212:KIW262213 KSS262212:KSS262213 LCO262212:LCO262213 LMK262212:LMK262213 LWG262212:LWG262213 MGC262212:MGC262213 MPY262212:MPY262213 MZU262212:MZU262213 NJQ262212:NJQ262213 NTM262212:NTM262213 ODI262212:ODI262213 ONE262212:ONE262213 OXA262212:OXA262213 PGW262212:PGW262213 PQS262212:PQS262213 QAO262212:QAO262213 QKK262212:QKK262213 QUG262212:QUG262213 REC262212:REC262213 RNY262212:RNY262213 RXU262212:RXU262213 SHQ262212:SHQ262213 SRM262212:SRM262213 TBI262212:TBI262213 TLE262212:TLE262213 TVA262212:TVA262213 UEW262212:UEW262213 UOS262212:UOS262213 UYO262212:UYO262213 VIK262212:VIK262213 VSG262212:VSG262213 WCC262212:WCC262213 WLY262212:WLY262213 WVU262212:WVU262213 M327748:M327749 JI327748:JI327749 TE327748:TE327749 ADA327748:ADA327749 AMW327748:AMW327749 AWS327748:AWS327749 BGO327748:BGO327749 BQK327748:BQK327749 CAG327748:CAG327749 CKC327748:CKC327749 CTY327748:CTY327749 DDU327748:DDU327749 DNQ327748:DNQ327749 DXM327748:DXM327749 EHI327748:EHI327749 ERE327748:ERE327749 FBA327748:FBA327749 FKW327748:FKW327749 FUS327748:FUS327749 GEO327748:GEO327749 GOK327748:GOK327749 GYG327748:GYG327749 HIC327748:HIC327749 HRY327748:HRY327749 IBU327748:IBU327749 ILQ327748:ILQ327749 IVM327748:IVM327749 JFI327748:JFI327749 JPE327748:JPE327749 JZA327748:JZA327749 KIW327748:KIW327749 KSS327748:KSS327749 LCO327748:LCO327749 LMK327748:LMK327749 LWG327748:LWG327749 MGC327748:MGC327749 MPY327748:MPY327749 MZU327748:MZU327749 NJQ327748:NJQ327749 NTM327748:NTM327749 ODI327748:ODI327749 ONE327748:ONE327749 OXA327748:OXA327749 PGW327748:PGW327749 PQS327748:PQS327749 QAO327748:QAO327749 QKK327748:QKK327749 QUG327748:QUG327749 REC327748:REC327749 RNY327748:RNY327749 RXU327748:RXU327749 SHQ327748:SHQ327749 SRM327748:SRM327749 TBI327748:TBI327749 TLE327748:TLE327749 TVA327748:TVA327749 UEW327748:UEW327749 UOS327748:UOS327749 UYO327748:UYO327749 VIK327748:VIK327749 VSG327748:VSG327749 WCC327748:WCC327749 WLY327748:WLY327749 WVU327748:WVU327749 M393284:M393285 JI393284:JI393285 TE393284:TE393285 ADA393284:ADA393285 AMW393284:AMW393285 AWS393284:AWS393285 BGO393284:BGO393285 BQK393284:BQK393285 CAG393284:CAG393285 CKC393284:CKC393285 CTY393284:CTY393285 DDU393284:DDU393285 DNQ393284:DNQ393285 DXM393284:DXM393285 EHI393284:EHI393285 ERE393284:ERE393285 FBA393284:FBA393285 FKW393284:FKW393285 FUS393284:FUS393285 GEO393284:GEO393285 GOK393284:GOK393285 GYG393284:GYG393285 HIC393284:HIC393285 HRY393284:HRY393285 IBU393284:IBU393285 ILQ393284:ILQ393285 IVM393284:IVM393285 JFI393284:JFI393285 JPE393284:JPE393285 JZA393284:JZA393285 KIW393284:KIW393285 KSS393284:KSS393285 LCO393284:LCO393285 LMK393284:LMK393285 LWG393284:LWG393285 MGC393284:MGC393285 MPY393284:MPY393285 MZU393284:MZU393285 NJQ393284:NJQ393285 NTM393284:NTM393285 ODI393284:ODI393285 ONE393284:ONE393285 OXA393284:OXA393285 PGW393284:PGW393285 PQS393284:PQS393285 QAO393284:QAO393285 QKK393284:QKK393285 QUG393284:QUG393285 REC393284:REC393285 RNY393284:RNY393285 RXU393284:RXU393285 SHQ393284:SHQ393285 SRM393284:SRM393285 TBI393284:TBI393285 TLE393284:TLE393285 TVA393284:TVA393285 UEW393284:UEW393285 UOS393284:UOS393285 UYO393284:UYO393285 VIK393284:VIK393285 VSG393284:VSG393285 WCC393284:WCC393285 WLY393284:WLY393285 WVU393284:WVU393285 M458820:M458821 JI458820:JI458821 TE458820:TE458821 ADA458820:ADA458821 AMW458820:AMW458821 AWS458820:AWS458821 BGO458820:BGO458821 BQK458820:BQK458821 CAG458820:CAG458821 CKC458820:CKC458821 CTY458820:CTY458821 DDU458820:DDU458821 DNQ458820:DNQ458821 DXM458820:DXM458821 EHI458820:EHI458821 ERE458820:ERE458821 FBA458820:FBA458821 FKW458820:FKW458821 FUS458820:FUS458821 GEO458820:GEO458821 GOK458820:GOK458821 GYG458820:GYG458821 HIC458820:HIC458821 HRY458820:HRY458821 IBU458820:IBU458821 ILQ458820:ILQ458821 IVM458820:IVM458821 JFI458820:JFI458821 JPE458820:JPE458821 JZA458820:JZA458821 KIW458820:KIW458821 KSS458820:KSS458821 LCO458820:LCO458821 LMK458820:LMK458821 LWG458820:LWG458821 MGC458820:MGC458821 MPY458820:MPY458821 MZU458820:MZU458821 NJQ458820:NJQ458821 NTM458820:NTM458821 ODI458820:ODI458821 ONE458820:ONE458821 OXA458820:OXA458821 PGW458820:PGW458821 PQS458820:PQS458821 QAO458820:QAO458821 QKK458820:QKK458821 QUG458820:QUG458821 REC458820:REC458821 RNY458820:RNY458821 RXU458820:RXU458821 SHQ458820:SHQ458821 SRM458820:SRM458821 TBI458820:TBI458821 TLE458820:TLE458821 TVA458820:TVA458821 UEW458820:UEW458821 UOS458820:UOS458821 UYO458820:UYO458821 VIK458820:VIK458821 VSG458820:VSG458821 WCC458820:WCC458821 WLY458820:WLY458821 WVU458820:WVU458821 M524356:M524357 JI524356:JI524357 TE524356:TE524357 ADA524356:ADA524357 AMW524356:AMW524357 AWS524356:AWS524357 BGO524356:BGO524357 BQK524356:BQK524357 CAG524356:CAG524357 CKC524356:CKC524357 CTY524356:CTY524357 DDU524356:DDU524357 DNQ524356:DNQ524357 DXM524356:DXM524357 EHI524356:EHI524357 ERE524356:ERE524357 FBA524356:FBA524357 FKW524356:FKW524357 FUS524356:FUS524357 GEO524356:GEO524357 GOK524356:GOK524357 GYG524356:GYG524357 HIC524356:HIC524357 HRY524356:HRY524357 IBU524356:IBU524357 ILQ524356:ILQ524357 IVM524356:IVM524357 JFI524356:JFI524357 JPE524356:JPE524357 JZA524356:JZA524357 KIW524356:KIW524357 KSS524356:KSS524357 LCO524356:LCO524357 LMK524356:LMK524357 LWG524356:LWG524357 MGC524356:MGC524357 MPY524356:MPY524357 MZU524356:MZU524357 NJQ524356:NJQ524357 NTM524356:NTM524357 ODI524356:ODI524357 ONE524356:ONE524357 OXA524356:OXA524357 PGW524356:PGW524357 PQS524356:PQS524357 QAO524356:QAO524357 QKK524356:QKK524357 QUG524356:QUG524357 REC524356:REC524357 RNY524356:RNY524357 RXU524356:RXU524357 SHQ524356:SHQ524357 SRM524356:SRM524357 TBI524356:TBI524357 TLE524356:TLE524357 TVA524356:TVA524357 UEW524356:UEW524357 UOS524356:UOS524357 UYO524356:UYO524357 VIK524356:VIK524357 VSG524356:VSG524357 WCC524356:WCC524357 WLY524356:WLY524357 WVU524356:WVU524357 M589892:M589893 JI589892:JI589893 TE589892:TE589893 ADA589892:ADA589893 AMW589892:AMW589893 AWS589892:AWS589893 BGO589892:BGO589893 BQK589892:BQK589893 CAG589892:CAG589893 CKC589892:CKC589893 CTY589892:CTY589893 DDU589892:DDU589893 DNQ589892:DNQ589893 DXM589892:DXM589893 EHI589892:EHI589893 ERE589892:ERE589893 FBA589892:FBA589893 FKW589892:FKW589893 FUS589892:FUS589893 GEO589892:GEO589893 GOK589892:GOK589893 GYG589892:GYG589893 HIC589892:HIC589893 HRY589892:HRY589893 IBU589892:IBU589893 ILQ589892:ILQ589893 IVM589892:IVM589893 JFI589892:JFI589893 JPE589892:JPE589893 JZA589892:JZA589893 KIW589892:KIW589893 KSS589892:KSS589893 LCO589892:LCO589893 LMK589892:LMK589893 LWG589892:LWG589893 MGC589892:MGC589893 MPY589892:MPY589893 MZU589892:MZU589893 NJQ589892:NJQ589893 NTM589892:NTM589893 ODI589892:ODI589893 ONE589892:ONE589893 OXA589892:OXA589893 PGW589892:PGW589893 PQS589892:PQS589893 QAO589892:QAO589893 QKK589892:QKK589893 QUG589892:QUG589893 REC589892:REC589893 RNY589892:RNY589893 RXU589892:RXU589893 SHQ589892:SHQ589893 SRM589892:SRM589893 TBI589892:TBI589893 TLE589892:TLE589893 TVA589892:TVA589893 UEW589892:UEW589893 UOS589892:UOS589893 UYO589892:UYO589893 VIK589892:VIK589893 VSG589892:VSG589893 WCC589892:WCC589893 WLY589892:WLY589893 WVU589892:WVU589893 M655428:M655429 JI655428:JI655429 TE655428:TE655429 ADA655428:ADA655429 AMW655428:AMW655429 AWS655428:AWS655429 BGO655428:BGO655429 BQK655428:BQK655429 CAG655428:CAG655429 CKC655428:CKC655429 CTY655428:CTY655429 DDU655428:DDU655429 DNQ655428:DNQ655429 DXM655428:DXM655429 EHI655428:EHI655429 ERE655428:ERE655429 FBA655428:FBA655429 FKW655428:FKW655429 FUS655428:FUS655429 GEO655428:GEO655429 GOK655428:GOK655429 GYG655428:GYG655429 HIC655428:HIC655429 HRY655428:HRY655429 IBU655428:IBU655429 ILQ655428:ILQ655429 IVM655428:IVM655429 JFI655428:JFI655429 JPE655428:JPE655429 JZA655428:JZA655429 KIW655428:KIW655429 KSS655428:KSS655429 LCO655428:LCO655429 LMK655428:LMK655429 LWG655428:LWG655429 MGC655428:MGC655429 MPY655428:MPY655429 MZU655428:MZU655429 NJQ655428:NJQ655429 NTM655428:NTM655429 ODI655428:ODI655429 ONE655428:ONE655429 OXA655428:OXA655429 PGW655428:PGW655429 PQS655428:PQS655429 QAO655428:QAO655429 QKK655428:QKK655429 QUG655428:QUG655429 REC655428:REC655429 RNY655428:RNY655429 RXU655428:RXU655429 SHQ655428:SHQ655429 SRM655428:SRM655429 TBI655428:TBI655429 TLE655428:TLE655429 TVA655428:TVA655429 UEW655428:UEW655429 UOS655428:UOS655429 UYO655428:UYO655429 VIK655428:VIK655429 VSG655428:VSG655429 WCC655428:WCC655429 WLY655428:WLY655429 WVU655428:WVU655429 M720964:M720965 JI720964:JI720965 TE720964:TE720965 ADA720964:ADA720965 AMW720964:AMW720965 AWS720964:AWS720965 BGO720964:BGO720965 BQK720964:BQK720965 CAG720964:CAG720965 CKC720964:CKC720965 CTY720964:CTY720965 DDU720964:DDU720965 DNQ720964:DNQ720965 DXM720964:DXM720965 EHI720964:EHI720965 ERE720964:ERE720965 FBA720964:FBA720965 FKW720964:FKW720965 FUS720964:FUS720965 GEO720964:GEO720965 GOK720964:GOK720965 GYG720964:GYG720965 HIC720964:HIC720965 HRY720964:HRY720965 IBU720964:IBU720965 ILQ720964:ILQ720965 IVM720964:IVM720965 JFI720964:JFI720965 JPE720964:JPE720965 JZA720964:JZA720965 KIW720964:KIW720965 KSS720964:KSS720965 LCO720964:LCO720965 LMK720964:LMK720965 LWG720964:LWG720965 MGC720964:MGC720965 MPY720964:MPY720965 MZU720964:MZU720965 NJQ720964:NJQ720965 NTM720964:NTM720965 ODI720964:ODI720965 ONE720964:ONE720965 OXA720964:OXA720965 PGW720964:PGW720965 PQS720964:PQS720965 QAO720964:QAO720965 QKK720964:QKK720965 QUG720964:QUG720965 REC720964:REC720965 RNY720964:RNY720965 RXU720964:RXU720965 SHQ720964:SHQ720965 SRM720964:SRM720965 TBI720964:TBI720965 TLE720964:TLE720965 TVA720964:TVA720965 UEW720964:UEW720965 UOS720964:UOS720965 UYO720964:UYO720965 VIK720964:VIK720965 VSG720964:VSG720965 WCC720964:WCC720965 WLY720964:WLY720965 WVU720964:WVU720965 M786500:M786501 JI786500:JI786501 TE786500:TE786501 ADA786500:ADA786501 AMW786500:AMW786501 AWS786500:AWS786501 BGO786500:BGO786501 BQK786500:BQK786501 CAG786500:CAG786501 CKC786500:CKC786501 CTY786500:CTY786501 DDU786500:DDU786501 DNQ786500:DNQ786501 DXM786500:DXM786501 EHI786500:EHI786501 ERE786500:ERE786501 FBA786500:FBA786501 FKW786500:FKW786501 FUS786500:FUS786501 GEO786500:GEO786501 GOK786500:GOK786501 GYG786500:GYG786501 HIC786500:HIC786501 HRY786500:HRY786501 IBU786500:IBU786501 ILQ786500:ILQ786501 IVM786500:IVM786501 JFI786500:JFI786501 JPE786500:JPE786501 JZA786500:JZA786501 KIW786500:KIW786501 KSS786500:KSS786501 LCO786500:LCO786501 LMK786500:LMK786501 LWG786500:LWG786501 MGC786500:MGC786501 MPY786500:MPY786501 MZU786500:MZU786501 NJQ786500:NJQ786501 NTM786500:NTM786501 ODI786500:ODI786501 ONE786500:ONE786501 OXA786500:OXA786501 PGW786500:PGW786501 PQS786500:PQS786501 QAO786500:QAO786501 QKK786500:QKK786501 QUG786500:QUG786501 REC786500:REC786501 RNY786500:RNY786501 RXU786500:RXU786501 SHQ786500:SHQ786501 SRM786500:SRM786501 TBI786500:TBI786501 TLE786500:TLE786501 TVA786500:TVA786501 UEW786500:UEW786501 UOS786500:UOS786501 UYO786500:UYO786501 VIK786500:VIK786501 VSG786500:VSG786501 WCC786500:WCC786501 WLY786500:WLY786501 WVU786500:WVU786501 M852036:M852037 JI852036:JI852037 TE852036:TE852037 ADA852036:ADA852037 AMW852036:AMW852037 AWS852036:AWS852037 BGO852036:BGO852037 BQK852036:BQK852037 CAG852036:CAG852037 CKC852036:CKC852037 CTY852036:CTY852037 DDU852036:DDU852037 DNQ852036:DNQ852037 DXM852036:DXM852037 EHI852036:EHI852037 ERE852036:ERE852037 FBA852036:FBA852037 FKW852036:FKW852037 FUS852036:FUS852037 GEO852036:GEO852037 GOK852036:GOK852037 GYG852036:GYG852037 HIC852036:HIC852037 HRY852036:HRY852037 IBU852036:IBU852037 ILQ852036:ILQ852037 IVM852036:IVM852037 JFI852036:JFI852037 JPE852036:JPE852037 JZA852036:JZA852037 KIW852036:KIW852037 KSS852036:KSS852037 LCO852036:LCO852037 LMK852036:LMK852037 LWG852036:LWG852037 MGC852036:MGC852037 MPY852036:MPY852037 MZU852036:MZU852037 NJQ852036:NJQ852037 NTM852036:NTM852037 ODI852036:ODI852037 ONE852036:ONE852037 OXA852036:OXA852037 PGW852036:PGW852037 PQS852036:PQS852037 QAO852036:QAO852037 QKK852036:QKK852037 QUG852036:QUG852037 REC852036:REC852037 RNY852036:RNY852037 RXU852036:RXU852037 SHQ852036:SHQ852037 SRM852036:SRM852037 TBI852036:TBI852037 TLE852036:TLE852037 TVA852036:TVA852037 UEW852036:UEW852037 UOS852036:UOS852037 UYO852036:UYO852037 VIK852036:VIK852037 VSG852036:VSG852037 WCC852036:WCC852037 WLY852036:WLY852037 WVU852036:WVU852037 M917572:M917573 JI917572:JI917573 TE917572:TE917573 ADA917572:ADA917573 AMW917572:AMW917573 AWS917572:AWS917573 BGO917572:BGO917573 BQK917572:BQK917573 CAG917572:CAG917573 CKC917572:CKC917573 CTY917572:CTY917573 DDU917572:DDU917573 DNQ917572:DNQ917573 DXM917572:DXM917573 EHI917572:EHI917573 ERE917572:ERE917573 FBA917572:FBA917573 FKW917572:FKW917573 FUS917572:FUS917573 GEO917572:GEO917573 GOK917572:GOK917573 GYG917572:GYG917573 HIC917572:HIC917573 HRY917572:HRY917573 IBU917572:IBU917573 ILQ917572:ILQ917573 IVM917572:IVM917573 JFI917572:JFI917573 JPE917572:JPE917573 JZA917572:JZA917573 KIW917572:KIW917573 KSS917572:KSS917573 LCO917572:LCO917573 LMK917572:LMK917573 LWG917572:LWG917573 MGC917572:MGC917573 MPY917572:MPY917573 MZU917572:MZU917573 NJQ917572:NJQ917573 NTM917572:NTM917573 ODI917572:ODI917573 ONE917572:ONE917573 OXA917572:OXA917573 PGW917572:PGW917573 PQS917572:PQS917573 QAO917572:QAO917573 QKK917572:QKK917573 QUG917572:QUG917573 REC917572:REC917573 RNY917572:RNY917573 RXU917572:RXU917573 SHQ917572:SHQ917573 SRM917572:SRM917573 TBI917572:TBI917573 TLE917572:TLE917573 TVA917572:TVA917573 UEW917572:UEW917573 UOS917572:UOS917573 UYO917572:UYO917573 VIK917572:VIK917573 VSG917572:VSG917573 WCC917572:WCC917573 WLY917572:WLY917573 WVU917572:WVU917573 M983108:M983109 JI983108:JI983109 TE983108:TE983109 ADA983108:ADA983109 AMW983108:AMW983109 AWS983108:AWS983109 BGO983108:BGO983109 BQK983108:BQK983109 CAG983108:CAG983109 CKC983108:CKC983109 CTY983108:CTY983109 DDU983108:DDU983109 DNQ983108:DNQ983109 DXM983108:DXM983109 EHI983108:EHI983109 ERE983108:ERE983109 FBA983108:FBA983109 FKW983108:FKW983109 FUS983108:FUS983109 GEO983108:GEO983109 GOK983108:GOK983109 GYG983108:GYG983109 HIC983108:HIC983109 HRY983108:HRY983109 IBU983108:IBU983109 ILQ983108:ILQ983109 IVM983108:IVM983109 JFI983108:JFI983109 JPE983108:JPE983109 JZA983108:JZA983109 KIW983108:KIW983109 KSS983108:KSS983109 LCO983108:LCO983109 LMK983108:LMK983109 LWG983108:LWG983109 MGC983108:MGC983109 MPY983108:MPY983109 MZU983108:MZU983109 NJQ983108:NJQ983109 NTM983108:NTM983109 ODI983108:ODI983109 ONE983108:ONE983109 OXA983108:OXA983109 PGW983108:PGW983109 PQS983108:PQS983109 QAO983108:QAO983109 QKK983108:QKK983109 QUG983108:QUG983109 REC983108:REC983109 RNY983108:RNY983109 RXU983108:RXU983109 SHQ983108:SHQ983109 SRM983108:SRM983109 TBI983108:TBI983109 TLE983108:TLE983109 TVA983108:TVA983109 UEW983108:UEW983109 UOS983108:UOS983109 UYO983108:UYO983109 VIK983108:VIK983109 VSG983108:VSG983109 WCC983108:WCC983109 WLY983108:WLY983109 WVU983108:WVU983109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613 JI65613 TE65613 ADA65613 AMW65613 AWS65613 BGO65613 BQK65613 CAG65613 CKC65613 CTY65613 DDU65613 DNQ65613 DXM65613 EHI65613 ERE65613 FBA65613 FKW65613 FUS65613 GEO65613 GOK65613 GYG65613 HIC65613 HRY65613 IBU65613 ILQ65613 IVM65613 JFI65613 JPE65613 JZA65613 KIW65613 KSS65613 LCO65613 LMK65613 LWG65613 MGC65613 MPY65613 MZU65613 NJQ65613 NTM65613 ODI65613 ONE65613 OXA65613 PGW65613 PQS65613 QAO65613 QKK65613 QUG65613 REC65613 RNY65613 RXU65613 SHQ65613 SRM65613 TBI65613 TLE65613 TVA65613 UEW65613 UOS65613 UYO65613 VIK65613 VSG65613 WCC65613 WLY65613 WVU65613 M131149 JI131149 TE131149 ADA131149 AMW131149 AWS131149 BGO131149 BQK131149 CAG131149 CKC131149 CTY131149 DDU131149 DNQ131149 DXM131149 EHI131149 ERE131149 FBA131149 FKW131149 FUS131149 GEO131149 GOK131149 GYG131149 HIC131149 HRY131149 IBU131149 ILQ131149 IVM131149 JFI131149 JPE131149 JZA131149 KIW131149 KSS131149 LCO131149 LMK131149 LWG131149 MGC131149 MPY131149 MZU131149 NJQ131149 NTM131149 ODI131149 ONE131149 OXA131149 PGW131149 PQS131149 QAO131149 QKK131149 QUG131149 REC131149 RNY131149 RXU131149 SHQ131149 SRM131149 TBI131149 TLE131149 TVA131149 UEW131149 UOS131149 UYO131149 VIK131149 VSG131149 WCC131149 WLY131149 WVU131149 M196685 JI196685 TE196685 ADA196685 AMW196685 AWS196685 BGO196685 BQK196685 CAG196685 CKC196685 CTY196685 DDU196685 DNQ196685 DXM196685 EHI196685 ERE196685 FBA196685 FKW196685 FUS196685 GEO196685 GOK196685 GYG196685 HIC196685 HRY196685 IBU196685 ILQ196685 IVM196685 JFI196685 JPE196685 JZA196685 KIW196685 KSS196685 LCO196685 LMK196685 LWG196685 MGC196685 MPY196685 MZU196685 NJQ196685 NTM196685 ODI196685 ONE196685 OXA196685 PGW196685 PQS196685 QAO196685 QKK196685 QUG196685 REC196685 RNY196685 RXU196685 SHQ196685 SRM196685 TBI196685 TLE196685 TVA196685 UEW196685 UOS196685 UYO196685 VIK196685 VSG196685 WCC196685 WLY196685 WVU196685 M262221 JI262221 TE262221 ADA262221 AMW262221 AWS262221 BGO262221 BQK262221 CAG262221 CKC262221 CTY262221 DDU262221 DNQ262221 DXM262221 EHI262221 ERE262221 FBA262221 FKW262221 FUS262221 GEO262221 GOK262221 GYG262221 HIC262221 HRY262221 IBU262221 ILQ262221 IVM262221 JFI262221 JPE262221 JZA262221 KIW262221 KSS262221 LCO262221 LMK262221 LWG262221 MGC262221 MPY262221 MZU262221 NJQ262221 NTM262221 ODI262221 ONE262221 OXA262221 PGW262221 PQS262221 QAO262221 QKK262221 QUG262221 REC262221 RNY262221 RXU262221 SHQ262221 SRM262221 TBI262221 TLE262221 TVA262221 UEW262221 UOS262221 UYO262221 VIK262221 VSG262221 WCC262221 WLY262221 WVU262221 M327757 JI327757 TE327757 ADA327757 AMW327757 AWS327757 BGO327757 BQK327757 CAG327757 CKC327757 CTY327757 DDU327757 DNQ327757 DXM327757 EHI327757 ERE327757 FBA327757 FKW327757 FUS327757 GEO327757 GOK327757 GYG327757 HIC327757 HRY327757 IBU327757 ILQ327757 IVM327757 JFI327757 JPE327757 JZA327757 KIW327757 KSS327757 LCO327757 LMK327757 LWG327757 MGC327757 MPY327757 MZU327757 NJQ327757 NTM327757 ODI327757 ONE327757 OXA327757 PGW327757 PQS327757 QAO327757 QKK327757 QUG327757 REC327757 RNY327757 RXU327757 SHQ327757 SRM327757 TBI327757 TLE327757 TVA327757 UEW327757 UOS327757 UYO327757 VIK327757 VSG327757 WCC327757 WLY327757 WVU327757 M393293 JI393293 TE393293 ADA393293 AMW393293 AWS393293 BGO393293 BQK393293 CAG393293 CKC393293 CTY393293 DDU393293 DNQ393293 DXM393293 EHI393293 ERE393293 FBA393293 FKW393293 FUS393293 GEO393293 GOK393293 GYG393293 HIC393293 HRY393293 IBU393293 ILQ393293 IVM393293 JFI393293 JPE393293 JZA393293 KIW393293 KSS393293 LCO393293 LMK393293 LWG393293 MGC393293 MPY393293 MZU393293 NJQ393293 NTM393293 ODI393293 ONE393293 OXA393293 PGW393293 PQS393293 QAO393293 QKK393293 QUG393293 REC393293 RNY393293 RXU393293 SHQ393293 SRM393293 TBI393293 TLE393293 TVA393293 UEW393293 UOS393293 UYO393293 VIK393293 VSG393293 WCC393293 WLY393293 WVU393293 M458829 JI458829 TE458829 ADA458829 AMW458829 AWS458829 BGO458829 BQK458829 CAG458829 CKC458829 CTY458829 DDU458829 DNQ458829 DXM458829 EHI458829 ERE458829 FBA458829 FKW458829 FUS458829 GEO458829 GOK458829 GYG458829 HIC458829 HRY458829 IBU458829 ILQ458829 IVM458829 JFI458829 JPE458829 JZA458829 KIW458829 KSS458829 LCO458829 LMK458829 LWG458829 MGC458829 MPY458829 MZU458829 NJQ458829 NTM458829 ODI458829 ONE458829 OXA458829 PGW458829 PQS458829 QAO458829 QKK458829 QUG458829 REC458829 RNY458829 RXU458829 SHQ458829 SRM458829 TBI458829 TLE458829 TVA458829 UEW458829 UOS458829 UYO458829 VIK458829 VSG458829 WCC458829 WLY458829 WVU458829 M524365 JI524365 TE524365 ADA524365 AMW524365 AWS524365 BGO524365 BQK524365 CAG524365 CKC524365 CTY524365 DDU524365 DNQ524365 DXM524365 EHI524365 ERE524365 FBA524365 FKW524365 FUS524365 GEO524365 GOK524365 GYG524365 HIC524365 HRY524365 IBU524365 ILQ524365 IVM524365 JFI524365 JPE524365 JZA524365 KIW524365 KSS524365 LCO524365 LMK524365 LWG524365 MGC524365 MPY524365 MZU524365 NJQ524365 NTM524365 ODI524365 ONE524365 OXA524365 PGW524365 PQS524365 QAO524365 QKK524365 QUG524365 REC524365 RNY524365 RXU524365 SHQ524365 SRM524365 TBI524365 TLE524365 TVA524365 UEW524365 UOS524365 UYO524365 VIK524365 VSG524365 WCC524365 WLY524365 WVU524365 M589901 JI589901 TE589901 ADA589901 AMW589901 AWS589901 BGO589901 BQK589901 CAG589901 CKC589901 CTY589901 DDU589901 DNQ589901 DXM589901 EHI589901 ERE589901 FBA589901 FKW589901 FUS589901 GEO589901 GOK589901 GYG589901 HIC589901 HRY589901 IBU589901 ILQ589901 IVM589901 JFI589901 JPE589901 JZA589901 KIW589901 KSS589901 LCO589901 LMK589901 LWG589901 MGC589901 MPY589901 MZU589901 NJQ589901 NTM589901 ODI589901 ONE589901 OXA589901 PGW589901 PQS589901 QAO589901 QKK589901 QUG589901 REC589901 RNY589901 RXU589901 SHQ589901 SRM589901 TBI589901 TLE589901 TVA589901 UEW589901 UOS589901 UYO589901 VIK589901 VSG589901 WCC589901 WLY589901 WVU589901 M655437 JI655437 TE655437 ADA655437 AMW655437 AWS655437 BGO655437 BQK655437 CAG655437 CKC655437 CTY655437 DDU655437 DNQ655437 DXM655437 EHI655437 ERE655437 FBA655437 FKW655437 FUS655437 GEO655437 GOK655437 GYG655437 HIC655437 HRY655437 IBU655437 ILQ655437 IVM655437 JFI655437 JPE655437 JZA655437 KIW655437 KSS655437 LCO655437 LMK655437 LWG655437 MGC655437 MPY655437 MZU655437 NJQ655437 NTM655437 ODI655437 ONE655437 OXA655437 PGW655437 PQS655437 QAO655437 QKK655437 QUG655437 REC655437 RNY655437 RXU655437 SHQ655437 SRM655437 TBI655437 TLE655437 TVA655437 UEW655437 UOS655437 UYO655437 VIK655437 VSG655437 WCC655437 WLY655437 WVU655437 M720973 JI720973 TE720973 ADA720973 AMW720973 AWS720973 BGO720973 BQK720973 CAG720973 CKC720973 CTY720973 DDU720973 DNQ720973 DXM720973 EHI720973 ERE720973 FBA720973 FKW720973 FUS720973 GEO720973 GOK720973 GYG720973 HIC720973 HRY720973 IBU720973 ILQ720973 IVM720973 JFI720973 JPE720973 JZA720973 KIW720973 KSS720973 LCO720973 LMK720973 LWG720973 MGC720973 MPY720973 MZU720973 NJQ720973 NTM720973 ODI720973 ONE720973 OXA720973 PGW720973 PQS720973 QAO720973 QKK720973 QUG720973 REC720973 RNY720973 RXU720973 SHQ720973 SRM720973 TBI720973 TLE720973 TVA720973 UEW720973 UOS720973 UYO720973 VIK720973 VSG720973 WCC720973 WLY720973 WVU720973 M786509 JI786509 TE786509 ADA786509 AMW786509 AWS786509 BGO786509 BQK786509 CAG786509 CKC786509 CTY786509 DDU786509 DNQ786509 DXM786509 EHI786509 ERE786509 FBA786509 FKW786509 FUS786509 GEO786509 GOK786509 GYG786509 HIC786509 HRY786509 IBU786509 ILQ786509 IVM786509 JFI786509 JPE786509 JZA786509 KIW786509 KSS786509 LCO786509 LMK786509 LWG786509 MGC786509 MPY786509 MZU786509 NJQ786509 NTM786509 ODI786509 ONE786509 OXA786509 PGW786509 PQS786509 QAO786509 QKK786509 QUG786509 REC786509 RNY786509 RXU786509 SHQ786509 SRM786509 TBI786509 TLE786509 TVA786509 UEW786509 UOS786509 UYO786509 VIK786509 VSG786509 WCC786509 WLY786509 WVU786509 M852045 JI852045 TE852045 ADA852045 AMW852045 AWS852045 BGO852045 BQK852045 CAG852045 CKC852045 CTY852045 DDU852045 DNQ852045 DXM852045 EHI852045 ERE852045 FBA852045 FKW852045 FUS852045 GEO852045 GOK852045 GYG852045 HIC852045 HRY852045 IBU852045 ILQ852045 IVM852045 JFI852045 JPE852045 JZA852045 KIW852045 KSS852045 LCO852045 LMK852045 LWG852045 MGC852045 MPY852045 MZU852045 NJQ852045 NTM852045 ODI852045 ONE852045 OXA852045 PGW852045 PQS852045 QAO852045 QKK852045 QUG852045 REC852045 RNY852045 RXU852045 SHQ852045 SRM852045 TBI852045 TLE852045 TVA852045 UEW852045 UOS852045 UYO852045 VIK852045 VSG852045 WCC852045 WLY852045 WVU852045 M917581 JI917581 TE917581 ADA917581 AMW917581 AWS917581 BGO917581 BQK917581 CAG917581 CKC917581 CTY917581 DDU917581 DNQ917581 DXM917581 EHI917581 ERE917581 FBA917581 FKW917581 FUS917581 GEO917581 GOK917581 GYG917581 HIC917581 HRY917581 IBU917581 ILQ917581 IVM917581 JFI917581 JPE917581 JZA917581 KIW917581 KSS917581 LCO917581 LMK917581 LWG917581 MGC917581 MPY917581 MZU917581 NJQ917581 NTM917581 ODI917581 ONE917581 OXA917581 PGW917581 PQS917581 QAO917581 QKK917581 QUG917581 REC917581 RNY917581 RXU917581 SHQ917581 SRM917581 TBI917581 TLE917581 TVA917581 UEW917581 UOS917581 UYO917581 VIK917581 VSG917581 WCC917581 WLY917581 WVU917581 M983117 JI983117 TE983117 ADA983117 AMW983117 AWS983117 BGO983117 BQK983117 CAG983117 CKC983117 CTY983117 DDU983117 DNQ983117 DXM983117 EHI983117 ERE983117 FBA983117 FKW983117 FUS983117 GEO983117 GOK983117 GYG983117 HIC983117 HRY983117 IBU983117 ILQ983117 IVM983117 JFI983117 JPE983117 JZA983117 KIW983117 KSS983117 LCO983117 LMK983117 LWG983117 MGC983117 MPY983117 MZU983117 NJQ983117 NTM983117 ODI983117 ONE983117 OXA983117 PGW983117 PQS983117 QAO983117 QKK983117 QUG983117 REC983117 RNY983117 RXU983117 SHQ983117 SRM983117 TBI983117 TLE983117 TVA983117 UEW983117 UOS983117 UYO983117 VIK983117 VSG983117 WCC983117 WLY983117 WVU983117">
      <formula1>97</formula1>
    </dataValidation>
    <dataValidation type="list" allowBlank="1" showInputMessage="1" showErrorMessage="1" errorTitle="Ошибка" error="Выберите значение из списка" prompt="Выберите значение из списка" sqref="F34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formula1>"присутствует,отсутствует"</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textLength" operator="lessThanOrEqual" allowBlank="1" showInputMessage="1" showErrorMessage="1" errorTitle="Ошибка" error="Допускается ввод не более 900 символов!">
          <x14:formula1>
            <xm:f>900</xm:f>
          </x14:formula1>
          <xm:sqref>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E52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E65588 JA65588 SW65588 ACS65588 AMO65588 AWK65588 BGG65588 BQC65588 BZY65588 CJU65588 CTQ65588 DDM65588 DNI65588 DXE65588 EHA65588 EQW65588 FAS65588 FKO65588 FUK65588 GEG65588 GOC65588 GXY65588 HHU65588 HRQ65588 IBM65588 ILI65588 IVE65588 JFA65588 JOW65588 JYS65588 KIO65588 KSK65588 LCG65588 LMC65588 LVY65588 MFU65588 MPQ65588 MZM65588 NJI65588 NTE65588 ODA65588 OMW65588 OWS65588 PGO65588 PQK65588 QAG65588 QKC65588 QTY65588 RDU65588 RNQ65588 RXM65588 SHI65588 SRE65588 TBA65588 TKW65588 TUS65588 UEO65588 UOK65588 UYG65588 VIC65588 VRY65588 WBU65588 WLQ65588 WVM65588 E131124 JA131124 SW131124 ACS131124 AMO131124 AWK131124 BGG131124 BQC131124 BZY131124 CJU131124 CTQ131124 DDM131124 DNI131124 DXE131124 EHA131124 EQW131124 FAS131124 FKO131124 FUK131124 GEG131124 GOC131124 GXY131124 HHU131124 HRQ131124 IBM131124 ILI131124 IVE131124 JFA131124 JOW131124 JYS131124 KIO131124 KSK131124 LCG131124 LMC131124 LVY131124 MFU131124 MPQ131124 MZM131124 NJI131124 NTE131124 ODA131124 OMW131124 OWS131124 PGO131124 PQK131124 QAG131124 QKC131124 QTY131124 RDU131124 RNQ131124 RXM131124 SHI131124 SRE131124 TBA131124 TKW131124 TUS131124 UEO131124 UOK131124 UYG131124 VIC131124 VRY131124 WBU131124 WLQ131124 WVM131124 E196660 JA196660 SW196660 ACS196660 AMO196660 AWK196660 BGG196660 BQC196660 BZY196660 CJU196660 CTQ196660 DDM196660 DNI196660 DXE196660 EHA196660 EQW196660 FAS196660 FKO196660 FUK196660 GEG196660 GOC196660 GXY196660 HHU196660 HRQ196660 IBM196660 ILI196660 IVE196660 JFA196660 JOW196660 JYS196660 KIO196660 KSK196660 LCG196660 LMC196660 LVY196660 MFU196660 MPQ196660 MZM196660 NJI196660 NTE196660 ODA196660 OMW196660 OWS196660 PGO196660 PQK196660 QAG196660 QKC196660 QTY196660 RDU196660 RNQ196660 RXM196660 SHI196660 SRE196660 TBA196660 TKW196660 TUS196660 UEO196660 UOK196660 UYG196660 VIC196660 VRY196660 WBU196660 WLQ196660 WVM196660 E262196 JA262196 SW262196 ACS262196 AMO262196 AWK262196 BGG262196 BQC262196 BZY262196 CJU262196 CTQ262196 DDM262196 DNI262196 DXE262196 EHA262196 EQW262196 FAS262196 FKO262196 FUK262196 GEG262196 GOC262196 GXY262196 HHU262196 HRQ262196 IBM262196 ILI262196 IVE262196 JFA262196 JOW262196 JYS262196 KIO262196 KSK262196 LCG262196 LMC262196 LVY262196 MFU262196 MPQ262196 MZM262196 NJI262196 NTE262196 ODA262196 OMW262196 OWS262196 PGO262196 PQK262196 QAG262196 QKC262196 QTY262196 RDU262196 RNQ262196 RXM262196 SHI262196 SRE262196 TBA262196 TKW262196 TUS262196 UEO262196 UOK262196 UYG262196 VIC262196 VRY262196 WBU262196 WLQ262196 WVM262196 E327732 JA327732 SW327732 ACS327732 AMO327732 AWK327732 BGG327732 BQC327732 BZY327732 CJU327732 CTQ327732 DDM327732 DNI327732 DXE327732 EHA327732 EQW327732 FAS327732 FKO327732 FUK327732 GEG327732 GOC327732 GXY327732 HHU327732 HRQ327732 IBM327732 ILI327732 IVE327732 JFA327732 JOW327732 JYS327732 KIO327732 KSK327732 LCG327732 LMC327732 LVY327732 MFU327732 MPQ327732 MZM327732 NJI327732 NTE327732 ODA327732 OMW327732 OWS327732 PGO327732 PQK327732 QAG327732 QKC327732 QTY327732 RDU327732 RNQ327732 RXM327732 SHI327732 SRE327732 TBA327732 TKW327732 TUS327732 UEO327732 UOK327732 UYG327732 VIC327732 VRY327732 WBU327732 WLQ327732 WVM327732 E393268 JA393268 SW393268 ACS393268 AMO393268 AWK393268 BGG393268 BQC393268 BZY393268 CJU393268 CTQ393268 DDM393268 DNI393268 DXE393268 EHA393268 EQW393268 FAS393268 FKO393268 FUK393268 GEG393268 GOC393268 GXY393268 HHU393268 HRQ393268 IBM393268 ILI393268 IVE393268 JFA393268 JOW393268 JYS393268 KIO393268 KSK393268 LCG393268 LMC393268 LVY393268 MFU393268 MPQ393268 MZM393268 NJI393268 NTE393268 ODA393268 OMW393268 OWS393268 PGO393268 PQK393268 QAG393268 QKC393268 QTY393268 RDU393268 RNQ393268 RXM393268 SHI393268 SRE393268 TBA393268 TKW393268 TUS393268 UEO393268 UOK393268 UYG393268 VIC393268 VRY393268 WBU393268 WLQ393268 WVM393268 E458804 JA458804 SW458804 ACS458804 AMO458804 AWK458804 BGG458804 BQC458804 BZY458804 CJU458804 CTQ458804 DDM458804 DNI458804 DXE458804 EHA458804 EQW458804 FAS458804 FKO458804 FUK458804 GEG458804 GOC458804 GXY458804 HHU458804 HRQ458804 IBM458804 ILI458804 IVE458804 JFA458804 JOW458804 JYS458804 KIO458804 KSK458804 LCG458804 LMC458804 LVY458804 MFU458804 MPQ458804 MZM458804 NJI458804 NTE458804 ODA458804 OMW458804 OWS458804 PGO458804 PQK458804 QAG458804 QKC458804 QTY458804 RDU458804 RNQ458804 RXM458804 SHI458804 SRE458804 TBA458804 TKW458804 TUS458804 UEO458804 UOK458804 UYG458804 VIC458804 VRY458804 WBU458804 WLQ458804 WVM458804 E524340 JA524340 SW524340 ACS524340 AMO524340 AWK524340 BGG524340 BQC524340 BZY524340 CJU524340 CTQ524340 DDM524340 DNI524340 DXE524340 EHA524340 EQW524340 FAS524340 FKO524340 FUK524340 GEG524340 GOC524340 GXY524340 HHU524340 HRQ524340 IBM524340 ILI524340 IVE524340 JFA524340 JOW524340 JYS524340 KIO524340 KSK524340 LCG524340 LMC524340 LVY524340 MFU524340 MPQ524340 MZM524340 NJI524340 NTE524340 ODA524340 OMW524340 OWS524340 PGO524340 PQK524340 QAG524340 QKC524340 QTY524340 RDU524340 RNQ524340 RXM524340 SHI524340 SRE524340 TBA524340 TKW524340 TUS524340 UEO524340 UOK524340 UYG524340 VIC524340 VRY524340 WBU524340 WLQ524340 WVM524340 E589876 JA589876 SW589876 ACS589876 AMO589876 AWK589876 BGG589876 BQC589876 BZY589876 CJU589876 CTQ589876 DDM589876 DNI589876 DXE589876 EHA589876 EQW589876 FAS589876 FKO589876 FUK589876 GEG589876 GOC589876 GXY589876 HHU589876 HRQ589876 IBM589876 ILI589876 IVE589876 JFA589876 JOW589876 JYS589876 KIO589876 KSK589876 LCG589876 LMC589876 LVY589876 MFU589876 MPQ589876 MZM589876 NJI589876 NTE589876 ODA589876 OMW589876 OWS589876 PGO589876 PQK589876 QAG589876 QKC589876 QTY589876 RDU589876 RNQ589876 RXM589876 SHI589876 SRE589876 TBA589876 TKW589876 TUS589876 UEO589876 UOK589876 UYG589876 VIC589876 VRY589876 WBU589876 WLQ589876 WVM589876 E655412 JA655412 SW655412 ACS655412 AMO655412 AWK655412 BGG655412 BQC655412 BZY655412 CJU655412 CTQ655412 DDM655412 DNI655412 DXE655412 EHA655412 EQW655412 FAS655412 FKO655412 FUK655412 GEG655412 GOC655412 GXY655412 HHU655412 HRQ655412 IBM655412 ILI655412 IVE655412 JFA655412 JOW655412 JYS655412 KIO655412 KSK655412 LCG655412 LMC655412 LVY655412 MFU655412 MPQ655412 MZM655412 NJI655412 NTE655412 ODA655412 OMW655412 OWS655412 PGO655412 PQK655412 QAG655412 QKC655412 QTY655412 RDU655412 RNQ655412 RXM655412 SHI655412 SRE655412 TBA655412 TKW655412 TUS655412 UEO655412 UOK655412 UYG655412 VIC655412 VRY655412 WBU655412 WLQ655412 WVM655412 E720948 JA720948 SW720948 ACS720948 AMO720948 AWK720948 BGG720948 BQC720948 BZY720948 CJU720948 CTQ720948 DDM720948 DNI720948 DXE720948 EHA720948 EQW720948 FAS720948 FKO720948 FUK720948 GEG720948 GOC720948 GXY720948 HHU720948 HRQ720948 IBM720948 ILI720948 IVE720948 JFA720948 JOW720948 JYS720948 KIO720948 KSK720948 LCG720948 LMC720948 LVY720948 MFU720948 MPQ720948 MZM720948 NJI720948 NTE720948 ODA720948 OMW720948 OWS720948 PGO720948 PQK720948 QAG720948 QKC720948 QTY720948 RDU720948 RNQ720948 RXM720948 SHI720948 SRE720948 TBA720948 TKW720948 TUS720948 UEO720948 UOK720948 UYG720948 VIC720948 VRY720948 WBU720948 WLQ720948 WVM720948 E786484 JA786484 SW786484 ACS786484 AMO786484 AWK786484 BGG786484 BQC786484 BZY786484 CJU786484 CTQ786484 DDM786484 DNI786484 DXE786484 EHA786484 EQW786484 FAS786484 FKO786484 FUK786484 GEG786484 GOC786484 GXY786484 HHU786484 HRQ786484 IBM786484 ILI786484 IVE786484 JFA786484 JOW786484 JYS786484 KIO786484 KSK786484 LCG786484 LMC786484 LVY786484 MFU786484 MPQ786484 MZM786484 NJI786484 NTE786484 ODA786484 OMW786484 OWS786484 PGO786484 PQK786484 QAG786484 QKC786484 QTY786484 RDU786484 RNQ786484 RXM786484 SHI786484 SRE786484 TBA786484 TKW786484 TUS786484 UEO786484 UOK786484 UYG786484 VIC786484 VRY786484 WBU786484 WLQ786484 WVM786484 E852020 JA852020 SW852020 ACS852020 AMO852020 AWK852020 BGG852020 BQC852020 BZY852020 CJU852020 CTQ852020 DDM852020 DNI852020 DXE852020 EHA852020 EQW852020 FAS852020 FKO852020 FUK852020 GEG852020 GOC852020 GXY852020 HHU852020 HRQ852020 IBM852020 ILI852020 IVE852020 JFA852020 JOW852020 JYS852020 KIO852020 KSK852020 LCG852020 LMC852020 LVY852020 MFU852020 MPQ852020 MZM852020 NJI852020 NTE852020 ODA852020 OMW852020 OWS852020 PGO852020 PQK852020 QAG852020 QKC852020 QTY852020 RDU852020 RNQ852020 RXM852020 SHI852020 SRE852020 TBA852020 TKW852020 TUS852020 UEO852020 UOK852020 UYG852020 VIC852020 VRY852020 WBU852020 WLQ852020 WVM852020 E917556 JA917556 SW917556 ACS917556 AMO917556 AWK917556 BGG917556 BQC917556 BZY917556 CJU917556 CTQ917556 DDM917556 DNI917556 DXE917556 EHA917556 EQW917556 FAS917556 FKO917556 FUK917556 GEG917556 GOC917556 GXY917556 HHU917556 HRQ917556 IBM917556 ILI917556 IVE917556 JFA917556 JOW917556 JYS917556 KIO917556 KSK917556 LCG917556 LMC917556 LVY917556 MFU917556 MPQ917556 MZM917556 NJI917556 NTE917556 ODA917556 OMW917556 OWS917556 PGO917556 PQK917556 QAG917556 QKC917556 QTY917556 RDU917556 RNQ917556 RXM917556 SHI917556 SRE917556 TBA917556 TKW917556 TUS917556 UEO917556 UOK917556 UYG917556 VIC917556 VRY917556 WBU917556 WLQ917556 WVM917556 E983092 JA983092 SW983092 ACS983092 AMO983092 AWK983092 BGG983092 BQC983092 BZY983092 CJU983092 CTQ983092 DDM983092 DNI983092 DXE983092 EHA983092 EQW983092 FAS983092 FKO983092 FUK983092 GEG983092 GOC983092 GXY983092 HHU983092 HRQ983092 IBM983092 ILI983092 IVE983092 JFA983092 JOW983092 JYS983092 KIO983092 KSK983092 LCG983092 LMC983092 LVY983092 MFU983092 MPQ983092 MZM983092 NJI983092 NTE983092 ODA983092 OMW983092 OWS983092 PGO983092 PQK983092 QAG983092 QKC983092 QTY983092 RDU983092 RNQ983092 RXM983092 SHI983092 SRE983092 TBA983092 TKW983092 TUS983092 UEO983092 UOK983092 UYG983092 VIC983092 VRY983092 WBU983092 WLQ983092 WVM983092 E50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E48 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E65584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E131120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E196656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E262192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E327728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E393264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E458800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E524336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E589872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E655408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E720944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E786480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E852016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E917552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E983088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E40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xm:sqref>
        </x14:dataValidation>
        <x14:dataValidation type="decimal" allowBlank="1" showErrorMessage="1" errorTitle="Ошибка" error="Допускается ввод только действительных чисел!">
          <x14:formula1>
            <xm:f>-9.99999999999999E+23</xm:f>
          </x14:formula1>
          <x14:formula2>
            <xm:f>9.99999999999999E+23</xm:f>
          </x14:formula2>
          <xm:sqref>M72:P74 JI72:JL74 TE72:TH74 ADA72:ADD74 AMW72:AMZ74 AWS72:AWV74 BGO72:BGR74 BQK72:BQN74 CAG72:CAJ74 CKC72:CKF74 CTY72:CUB74 DDU72:DDX74 DNQ72:DNT74 DXM72:DXP74 EHI72:EHL74 ERE72:ERH74 FBA72:FBD74 FKW72:FKZ74 FUS72:FUV74 GEO72:GER74 GOK72:GON74 GYG72:GYJ74 HIC72:HIF74 HRY72:HSB74 IBU72:IBX74 ILQ72:ILT74 IVM72:IVP74 JFI72:JFL74 JPE72:JPH74 JZA72:JZD74 KIW72:KIZ74 KSS72:KSV74 LCO72:LCR74 LMK72:LMN74 LWG72:LWJ74 MGC72:MGF74 MPY72:MQB74 MZU72:MZX74 NJQ72:NJT74 NTM72:NTP74 ODI72:ODL74 ONE72:ONH74 OXA72:OXD74 PGW72:PGZ74 PQS72:PQV74 QAO72:QAR74 QKK72:QKN74 QUG72:QUJ74 REC72:REF74 RNY72:ROB74 RXU72:RXX74 SHQ72:SHT74 SRM72:SRP74 TBI72:TBL74 TLE72:TLH74 TVA72:TVD74 UEW72:UEZ74 UOS72:UOV74 UYO72:UYR74 VIK72:VIN74 VSG72:VSJ74 WCC72:WCF74 WLY72:WMB74 WVU72:WVX74 M65608:P65610 JI65608:JL65610 TE65608:TH65610 ADA65608:ADD65610 AMW65608:AMZ65610 AWS65608:AWV65610 BGO65608:BGR65610 BQK65608:BQN65610 CAG65608:CAJ65610 CKC65608:CKF65610 CTY65608:CUB65610 DDU65608:DDX65610 DNQ65608:DNT65610 DXM65608:DXP65610 EHI65608:EHL65610 ERE65608:ERH65610 FBA65608:FBD65610 FKW65608:FKZ65610 FUS65608:FUV65610 GEO65608:GER65610 GOK65608:GON65610 GYG65608:GYJ65610 HIC65608:HIF65610 HRY65608:HSB65610 IBU65608:IBX65610 ILQ65608:ILT65610 IVM65608:IVP65610 JFI65608:JFL65610 JPE65608:JPH65610 JZA65608:JZD65610 KIW65608:KIZ65610 KSS65608:KSV65610 LCO65608:LCR65610 LMK65608:LMN65610 LWG65608:LWJ65610 MGC65608:MGF65610 MPY65608:MQB65610 MZU65608:MZX65610 NJQ65608:NJT65610 NTM65608:NTP65610 ODI65608:ODL65610 ONE65608:ONH65610 OXA65608:OXD65610 PGW65608:PGZ65610 PQS65608:PQV65610 QAO65608:QAR65610 QKK65608:QKN65610 QUG65608:QUJ65610 REC65608:REF65610 RNY65608:ROB65610 RXU65608:RXX65610 SHQ65608:SHT65610 SRM65608:SRP65610 TBI65608:TBL65610 TLE65608:TLH65610 TVA65608:TVD65610 UEW65608:UEZ65610 UOS65608:UOV65610 UYO65608:UYR65610 VIK65608:VIN65610 VSG65608:VSJ65610 WCC65608:WCF65610 WLY65608:WMB65610 WVU65608:WVX65610 M131144:P131146 JI131144:JL131146 TE131144:TH131146 ADA131144:ADD131146 AMW131144:AMZ131146 AWS131144:AWV131146 BGO131144:BGR131146 BQK131144:BQN131146 CAG131144:CAJ131146 CKC131144:CKF131146 CTY131144:CUB131146 DDU131144:DDX131146 DNQ131144:DNT131146 DXM131144:DXP131146 EHI131144:EHL131146 ERE131144:ERH131146 FBA131144:FBD131146 FKW131144:FKZ131146 FUS131144:FUV131146 GEO131144:GER131146 GOK131144:GON131146 GYG131144:GYJ131146 HIC131144:HIF131146 HRY131144:HSB131146 IBU131144:IBX131146 ILQ131144:ILT131146 IVM131144:IVP131146 JFI131144:JFL131146 JPE131144:JPH131146 JZA131144:JZD131146 KIW131144:KIZ131146 KSS131144:KSV131146 LCO131144:LCR131146 LMK131144:LMN131146 LWG131144:LWJ131146 MGC131144:MGF131146 MPY131144:MQB131146 MZU131144:MZX131146 NJQ131144:NJT131146 NTM131144:NTP131146 ODI131144:ODL131146 ONE131144:ONH131146 OXA131144:OXD131146 PGW131144:PGZ131146 PQS131144:PQV131146 QAO131144:QAR131146 QKK131144:QKN131146 QUG131144:QUJ131146 REC131144:REF131146 RNY131144:ROB131146 RXU131144:RXX131146 SHQ131144:SHT131146 SRM131144:SRP131146 TBI131144:TBL131146 TLE131144:TLH131146 TVA131144:TVD131146 UEW131144:UEZ131146 UOS131144:UOV131146 UYO131144:UYR131146 VIK131144:VIN131146 VSG131144:VSJ131146 WCC131144:WCF131146 WLY131144:WMB131146 WVU131144:WVX131146 M196680:P196682 JI196680:JL196682 TE196680:TH196682 ADA196680:ADD196682 AMW196680:AMZ196682 AWS196680:AWV196682 BGO196680:BGR196682 BQK196680:BQN196682 CAG196680:CAJ196682 CKC196680:CKF196682 CTY196680:CUB196682 DDU196680:DDX196682 DNQ196680:DNT196682 DXM196680:DXP196682 EHI196680:EHL196682 ERE196680:ERH196682 FBA196680:FBD196682 FKW196680:FKZ196682 FUS196680:FUV196682 GEO196680:GER196682 GOK196680:GON196682 GYG196680:GYJ196682 HIC196680:HIF196682 HRY196680:HSB196682 IBU196680:IBX196682 ILQ196680:ILT196682 IVM196680:IVP196682 JFI196680:JFL196682 JPE196680:JPH196682 JZA196680:JZD196682 KIW196680:KIZ196682 KSS196680:KSV196682 LCO196680:LCR196682 LMK196680:LMN196682 LWG196680:LWJ196682 MGC196680:MGF196682 MPY196680:MQB196682 MZU196680:MZX196682 NJQ196680:NJT196682 NTM196680:NTP196682 ODI196680:ODL196682 ONE196680:ONH196682 OXA196680:OXD196682 PGW196680:PGZ196682 PQS196680:PQV196682 QAO196680:QAR196682 QKK196680:QKN196682 QUG196680:QUJ196682 REC196680:REF196682 RNY196680:ROB196682 RXU196680:RXX196682 SHQ196680:SHT196682 SRM196680:SRP196682 TBI196680:TBL196682 TLE196680:TLH196682 TVA196680:TVD196682 UEW196680:UEZ196682 UOS196680:UOV196682 UYO196680:UYR196682 VIK196680:VIN196682 VSG196680:VSJ196682 WCC196680:WCF196682 WLY196680:WMB196682 WVU196680:WVX196682 M262216:P262218 JI262216:JL262218 TE262216:TH262218 ADA262216:ADD262218 AMW262216:AMZ262218 AWS262216:AWV262218 BGO262216:BGR262218 BQK262216:BQN262218 CAG262216:CAJ262218 CKC262216:CKF262218 CTY262216:CUB262218 DDU262216:DDX262218 DNQ262216:DNT262218 DXM262216:DXP262218 EHI262216:EHL262218 ERE262216:ERH262218 FBA262216:FBD262218 FKW262216:FKZ262218 FUS262216:FUV262218 GEO262216:GER262218 GOK262216:GON262218 GYG262216:GYJ262218 HIC262216:HIF262218 HRY262216:HSB262218 IBU262216:IBX262218 ILQ262216:ILT262218 IVM262216:IVP262218 JFI262216:JFL262218 JPE262216:JPH262218 JZA262216:JZD262218 KIW262216:KIZ262218 KSS262216:KSV262218 LCO262216:LCR262218 LMK262216:LMN262218 LWG262216:LWJ262218 MGC262216:MGF262218 MPY262216:MQB262218 MZU262216:MZX262218 NJQ262216:NJT262218 NTM262216:NTP262218 ODI262216:ODL262218 ONE262216:ONH262218 OXA262216:OXD262218 PGW262216:PGZ262218 PQS262216:PQV262218 QAO262216:QAR262218 QKK262216:QKN262218 QUG262216:QUJ262218 REC262216:REF262218 RNY262216:ROB262218 RXU262216:RXX262218 SHQ262216:SHT262218 SRM262216:SRP262218 TBI262216:TBL262218 TLE262216:TLH262218 TVA262216:TVD262218 UEW262216:UEZ262218 UOS262216:UOV262218 UYO262216:UYR262218 VIK262216:VIN262218 VSG262216:VSJ262218 WCC262216:WCF262218 WLY262216:WMB262218 WVU262216:WVX262218 M327752:P327754 JI327752:JL327754 TE327752:TH327754 ADA327752:ADD327754 AMW327752:AMZ327754 AWS327752:AWV327754 BGO327752:BGR327754 BQK327752:BQN327754 CAG327752:CAJ327754 CKC327752:CKF327754 CTY327752:CUB327754 DDU327752:DDX327754 DNQ327752:DNT327754 DXM327752:DXP327754 EHI327752:EHL327754 ERE327752:ERH327754 FBA327752:FBD327754 FKW327752:FKZ327754 FUS327752:FUV327754 GEO327752:GER327754 GOK327752:GON327754 GYG327752:GYJ327754 HIC327752:HIF327754 HRY327752:HSB327754 IBU327752:IBX327754 ILQ327752:ILT327754 IVM327752:IVP327754 JFI327752:JFL327754 JPE327752:JPH327754 JZA327752:JZD327754 KIW327752:KIZ327754 KSS327752:KSV327754 LCO327752:LCR327754 LMK327752:LMN327754 LWG327752:LWJ327754 MGC327752:MGF327754 MPY327752:MQB327754 MZU327752:MZX327754 NJQ327752:NJT327754 NTM327752:NTP327754 ODI327752:ODL327754 ONE327752:ONH327754 OXA327752:OXD327754 PGW327752:PGZ327754 PQS327752:PQV327754 QAO327752:QAR327754 QKK327752:QKN327754 QUG327752:QUJ327754 REC327752:REF327754 RNY327752:ROB327754 RXU327752:RXX327754 SHQ327752:SHT327754 SRM327752:SRP327754 TBI327752:TBL327754 TLE327752:TLH327754 TVA327752:TVD327754 UEW327752:UEZ327754 UOS327752:UOV327754 UYO327752:UYR327754 VIK327752:VIN327754 VSG327752:VSJ327754 WCC327752:WCF327754 WLY327752:WMB327754 WVU327752:WVX327754 M393288:P393290 JI393288:JL393290 TE393288:TH393290 ADA393288:ADD393290 AMW393288:AMZ393290 AWS393288:AWV393290 BGO393288:BGR393290 BQK393288:BQN393290 CAG393288:CAJ393290 CKC393288:CKF393290 CTY393288:CUB393290 DDU393288:DDX393290 DNQ393288:DNT393290 DXM393288:DXP393290 EHI393288:EHL393290 ERE393288:ERH393290 FBA393288:FBD393290 FKW393288:FKZ393290 FUS393288:FUV393290 GEO393288:GER393290 GOK393288:GON393290 GYG393288:GYJ393290 HIC393288:HIF393290 HRY393288:HSB393290 IBU393288:IBX393290 ILQ393288:ILT393290 IVM393288:IVP393290 JFI393288:JFL393290 JPE393288:JPH393290 JZA393288:JZD393290 KIW393288:KIZ393290 KSS393288:KSV393290 LCO393288:LCR393290 LMK393288:LMN393290 LWG393288:LWJ393290 MGC393288:MGF393290 MPY393288:MQB393290 MZU393288:MZX393290 NJQ393288:NJT393290 NTM393288:NTP393290 ODI393288:ODL393290 ONE393288:ONH393290 OXA393288:OXD393290 PGW393288:PGZ393290 PQS393288:PQV393290 QAO393288:QAR393290 QKK393288:QKN393290 QUG393288:QUJ393290 REC393288:REF393290 RNY393288:ROB393290 RXU393288:RXX393290 SHQ393288:SHT393290 SRM393288:SRP393290 TBI393288:TBL393290 TLE393288:TLH393290 TVA393288:TVD393290 UEW393288:UEZ393290 UOS393288:UOV393290 UYO393288:UYR393290 VIK393288:VIN393290 VSG393288:VSJ393290 WCC393288:WCF393290 WLY393288:WMB393290 WVU393288:WVX393290 M458824:P458826 JI458824:JL458826 TE458824:TH458826 ADA458824:ADD458826 AMW458824:AMZ458826 AWS458824:AWV458826 BGO458824:BGR458826 BQK458824:BQN458826 CAG458824:CAJ458826 CKC458824:CKF458826 CTY458824:CUB458826 DDU458824:DDX458826 DNQ458824:DNT458826 DXM458824:DXP458826 EHI458824:EHL458826 ERE458824:ERH458826 FBA458824:FBD458826 FKW458824:FKZ458826 FUS458824:FUV458826 GEO458824:GER458826 GOK458824:GON458826 GYG458824:GYJ458826 HIC458824:HIF458826 HRY458824:HSB458826 IBU458824:IBX458826 ILQ458824:ILT458826 IVM458824:IVP458826 JFI458824:JFL458826 JPE458824:JPH458826 JZA458824:JZD458826 KIW458824:KIZ458826 KSS458824:KSV458826 LCO458824:LCR458826 LMK458824:LMN458826 LWG458824:LWJ458826 MGC458824:MGF458826 MPY458824:MQB458826 MZU458824:MZX458826 NJQ458824:NJT458826 NTM458824:NTP458826 ODI458824:ODL458826 ONE458824:ONH458826 OXA458824:OXD458826 PGW458824:PGZ458826 PQS458824:PQV458826 QAO458824:QAR458826 QKK458824:QKN458826 QUG458824:QUJ458826 REC458824:REF458826 RNY458824:ROB458826 RXU458824:RXX458826 SHQ458824:SHT458826 SRM458824:SRP458826 TBI458824:TBL458826 TLE458824:TLH458826 TVA458824:TVD458826 UEW458824:UEZ458826 UOS458824:UOV458826 UYO458824:UYR458826 VIK458824:VIN458826 VSG458824:VSJ458826 WCC458824:WCF458826 WLY458824:WMB458826 WVU458824:WVX458826 M524360:P524362 JI524360:JL524362 TE524360:TH524362 ADA524360:ADD524362 AMW524360:AMZ524362 AWS524360:AWV524362 BGO524360:BGR524362 BQK524360:BQN524362 CAG524360:CAJ524362 CKC524360:CKF524362 CTY524360:CUB524362 DDU524360:DDX524362 DNQ524360:DNT524362 DXM524360:DXP524362 EHI524360:EHL524362 ERE524360:ERH524362 FBA524360:FBD524362 FKW524360:FKZ524362 FUS524360:FUV524362 GEO524360:GER524362 GOK524360:GON524362 GYG524360:GYJ524362 HIC524360:HIF524362 HRY524360:HSB524362 IBU524360:IBX524362 ILQ524360:ILT524362 IVM524360:IVP524362 JFI524360:JFL524362 JPE524360:JPH524362 JZA524360:JZD524362 KIW524360:KIZ524362 KSS524360:KSV524362 LCO524360:LCR524362 LMK524360:LMN524362 LWG524360:LWJ524362 MGC524360:MGF524362 MPY524360:MQB524362 MZU524360:MZX524362 NJQ524360:NJT524362 NTM524360:NTP524362 ODI524360:ODL524362 ONE524360:ONH524362 OXA524360:OXD524362 PGW524360:PGZ524362 PQS524360:PQV524362 QAO524360:QAR524362 QKK524360:QKN524362 QUG524360:QUJ524362 REC524360:REF524362 RNY524360:ROB524362 RXU524360:RXX524362 SHQ524360:SHT524362 SRM524360:SRP524362 TBI524360:TBL524362 TLE524360:TLH524362 TVA524360:TVD524362 UEW524360:UEZ524362 UOS524360:UOV524362 UYO524360:UYR524362 VIK524360:VIN524362 VSG524360:VSJ524362 WCC524360:WCF524362 WLY524360:WMB524362 WVU524360:WVX524362 M589896:P589898 JI589896:JL589898 TE589896:TH589898 ADA589896:ADD589898 AMW589896:AMZ589898 AWS589896:AWV589898 BGO589896:BGR589898 BQK589896:BQN589898 CAG589896:CAJ589898 CKC589896:CKF589898 CTY589896:CUB589898 DDU589896:DDX589898 DNQ589896:DNT589898 DXM589896:DXP589898 EHI589896:EHL589898 ERE589896:ERH589898 FBA589896:FBD589898 FKW589896:FKZ589898 FUS589896:FUV589898 GEO589896:GER589898 GOK589896:GON589898 GYG589896:GYJ589898 HIC589896:HIF589898 HRY589896:HSB589898 IBU589896:IBX589898 ILQ589896:ILT589898 IVM589896:IVP589898 JFI589896:JFL589898 JPE589896:JPH589898 JZA589896:JZD589898 KIW589896:KIZ589898 KSS589896:KSV589898 LCO589896:LCR589898 LMK589896:LMN589898 LWG589896:LWJ589898 MGC589896:MGF589898 MPY589896:MQB589898 MZU589896:MZX589898 NJQ589896:NJT589898 NTM589896:NTP589898 ODI589896:ODL589898 ONE589896:ONH589898 OXA589896:OXD589898 PGW589896:PGZ589898 PQS589896:PQV589898 QAO589896:QAR589898 QKK589896:QKN589898 QUG589896:QUJ589898 REC589896:REF589898 RNY589896:ROB589898 RXU589896:RXX589898 SHQ589896:SHT589898 SRM589896:SRP589898 TBI589896:TBL589898 TLE589896:TLH589898 TVA589896:TVD589898 UEW589896:UEZ589898 UOS589896:UOV589898 UYO589896:UYR589898 VIK589896:VIN589898 VSG589896:VSJ589898 WCC589896:WCF589898 WLY589896:WMB589898 WVU589896:WVX589898 M655432:P655434 JI655432:JL655434 TE655432:TH655434 ADA655432:ADD655434 AMW655432:AMZ655434 AWS655432:AWV655434 BGO655432:BGR655434 BQK655432:BQN655434 CAG655432:CAJ655434 CKC655432:CKF655434 CTY655432:CUB655434 DDU655432:DDX655434 DNQ655432:DNT655434 DXM655432:DXP655434 EHI655432:EHL655434 ERE655432:ERH655434 FBA655432:FBD655434 FKW655432:FKZ655434 FUS655432:FUV655434 GEO655432:GER655434 GOK655432:GON655434 GYG655432:GYJ655434 HIC655432:HIF655434 HRY655432:HSB655434 IBU655432:IBX655434 ILQ655432:ILT655434 IVM655432:IVP655434 JFI655432:JFL655434 JPE655432:JPH655434 JZA655432:JZD655434 KIW655432:KIZ655434 KSS655432:KSV655434 LCO655432:LCR655434 LMK655432:LMN655434 LWG655432:LWJ655434 MGC655432:MGF655434 MPY655432:MQB655434 MZU655432:MZX655434 NJQ655432:NJT655434 NTM655432:NTP655434 ODI655432:ODL655434 ONE655432:ONH655434 OXA655432:OXD655434 PGW655432:PGZ655434 PQS655432:PQV655434 QAO655432:QAR655434 QKK655432:QKN655434 QUG655432:QUJ655434 REC655432:REF655434 RNY655432:ROB655434 RXU655432:RXX655434 SHQ655432:SHT655434 SRM655432:SRP655434 TBI655432:TBL655434 TLE655432:TLH655434 TVA655432:TVD655434 UEW655432:UEZ655434 UOS655432:UOV655434 UYO655432:UYR655434 VIK655432:VIN655434 VSG655432:VSJ655434 WCC655432:WCF655434 WLY655432:WMB655434 WVU655432:WVX655434 M720968:P720970 JI720968:JL720970 TE720968:TH720970 ADA720968:ADD720970 AMW720968:AMZ720970 AWS720968:AWV720970 BGO720968:BGR720970 BQK720968:BQN720970 CAG720968:CAJ720970 CKC720968:CKF720970 CTY720968:CUB720970 DDU720968:DDX720970 DNQ720968:DNT720970 DXM720968:DXP720970 EHI720968:EHL720970 ERE720968:ERH720970 FBA720968:FBD720970 FKW720968:FKZ720970 FUS720968:FUV720970 GEO720968:GER720970 GOK720968:GON720970 GYG720968:GYJ720970 HIC720968:HIF720970 HRY720968:HSB720970 IBU720968:IBX720970 ILQ720968:ILT720970 IVM720968:IVP720970 JFI720968:JFL720970 JPE720968:JPH720970 JZA720968:JZD720970 KIW720968:KIZ720970 KSS720968:KSV720970 LCO720968:LCR720970 LMK720968:LMN720970 LWG720968:LWJ720970 MGC720968:MGF720970 MPY720968:MQB720970 MZU720968:MZX720970 NJQ720968:NJT720970 NTM720968:NTP720970 ODI720968:ODL720970 ONE720968:ONH720970 OXA720968:OXD720970 PGW720968:PGZ720970 PQS720968:PQV720970 QAO720968:QAR720970 QKK720968:QKN720970 QUG720968:QUJ720970 REC720968:REF720970 RNY720968:ROB720970 RXU720968:RXX720970 SHQ720968:SHT720970 SRM720968:SRP720970 TBI720968:TBL720970 TLE720968:TLH720970 TVA720968:TVD720970 UEW720968:UEZ720970 UOS720968:UOV720970 UYO720968:UYR720970 VIK720968:VIN720970 VSG720968:VSJ720970 WCC720968:WCF720970 WLY720968:WMB720970 WVU720968:WVX720970 M786504:P786506 JI786504:JL786506 TE786504:TH786506 ADA786504:ADD786506 AMW786504:AMZ786506 AWS786504:AWV786506 BGO786504:BGR786506 BQK786504:BQN786506 CAG786504:CAJ786506 CKC786504:CKF786506 CTY786504:CUB786506 DDU786504:DDX786506 DNQ786504:DNT786506 DXM786504:DXP786506 EHI786504:EHL786506 ERE786504:ERH786506 FBA786504:FBD786506 FKW786504:FKZ786506 FUS786504:FUV786506 GEO786504:GER786506 GOK786504:GON786506 GYG786504:GYJ786506 HIC786504:HIF786506 HRY786504:HSB786506 IBU786504:IBX786506 ILQ786504:ILT786506 IVM786504:IVP786506 JFI786504:JFL786506 JPE786504:JPH786506 JZA786504:JZD786506 KIW786504:KIZ786506 KSS786504:KSV786506 LCO786504:LCR786506 LMK786504:LMN786506 LWG786504:LWJ786506 MGC786504:MGF786506 MPY786504:MQB786506 MZU786504:MZX786506 NJQ786504:NJT786506 NTM786504:NTP786506 ODI786504:ODL786506 ONE786504:ONH786506 OXA786504:OXD786506 PGW786504:PGZ786506 PQS786504:PQV786506 QAO786504:QAR786506 QKK786504:QKN786506 QUG786504:QUJ786506 REC786504:REF786506 RNY786504:ROB786506 RXU786504:RXX786506 SHQ786504:SHT786506 SRM786504:SRP786506 TBI786504:TBL786506 TLE786504:TLH786506 TVA786504:TVD786506 UEW786504:UEZ786506 UOS786504:UOV786506 UYO786504:UYR786506 VIK786504:VIN786506 VSG786504:VSJ786506 WCC786504:WCF786506 WLY786504:WMB786506 WVU786504:WVX786506 M852040:P852042 JI852040:JL852042 TE852040:TH852042 ADA852040:ADD852042 AMW852040:AMZ852042 AWS852040:AWV852042 BGO852040:BGR852042 BQK852040:BQN852042 CAG852040:CAJ852042 CKC852040:CKF852042 CTY852040:CUB852042 DDU852040:DDX852042 DNQ852040:DNT852042 DXM852040:DXP852042 EHI852040:EHL852042 ERE852040:ERH852042 FBA852040:FBD852042 FKW852040:FKZ852042 FUS852040:FUV852042 GEO852040:GER852042 GOK852040:GON852042 GYG852040:GYJ852042 HIC852040:HIF852042 HRY852040:HSB852042 IBU852040:IBX852042 ILQ852040:ILT852042 IVM852040:IVP852042 JFI852040:JFL852042 JPE852040:JPH852042 JZA852040:JZD852042 KIW852040:KIZ852042 KSS852040:KSV852042 LCO852040:LCR852042 LMK852040:LMN852042 LWG852040:LWJ852042 MGC852040:MGF852042 MPY852040:MQB852042 MZU852040:MZX852042 NJQ852040:NJT852042 NTM852040:NTP852042 ODI852040:ODL852042 ONE852040:ONH852042 OXA852040:OXD852042 PGW852040:PGZ852042 PQS852040:PQV852042 QAO852040:QAR852042 QKK852040:QKN852042 QUG852040:QUJ852042 REC852040:REF852042 RNY852040:ROB852042 RXU852040:RXX852042 SHQ852040:SHT852042 SRM852040:SRP852042 TBI852040:TBL852042 TLE852040:TLH852042 TVA852040:TVD852042 UEW852040:UEZ852042 UOS852040:UOV852042 UYO852040:UYR852042 VIK852040:VIN852042 VSG852040:VSJ852042 WCC852040:WCF852042 WLY852040:WMB852042 WVU852040:WVX852042 M917576:P917578 JI917576:JL917578 TE917576:TH917578 ADA917576:ADD917578 AMW917576:AMZ917578 AWS917576:AWV917578 BGO917576:BGR917578 BQK917576:BQN917578 CAG917576:CAJ917578 CKC917576:CKF917578 CTY917576:CUB917578 DDU917576:DDX917578 DNQ917576:DNT917578 DXM917576:DXP917578 EHI917576:EHL917578 ERE917576:ERH917578 FBA917576:FBD917578 FKW917576:FKZ917578 FUS917576:FUV917578 GEO917576:GER917578 GOK917576:GON917578 GYG917576:GYJ917578 HIC917576:HIF917578 HRY917576:HSB917578 IBU917576:IBX917578 ILQ917576:ILT917578 IVM917576:IVP917578 JFI917576:JFL917578 JPE917576:JPH917578 JZA917576:JZD917578 KIW917576:KIZ917578 KSS917576:KSV917578 LCO917576:LCR917578 LMK917576:LMN917578 LWG917576:LWJ917578 MGC917576:MGF917578 MPY917576:MQB917578 MZU917576:MZX917578 NJQ917576:NJT917578 NTM917576:NTP917578 ODI917576:ODL917578 ONE917576:ONH917578 OXA917576:OXD917578 PGW917576:PGZ917578 PQS917576:PQV917578 QAO917576:QAR917578 QKK917576:QKN917578 QUG917576:QUJ917578 REC917576:REF917578 RNY917576:ROB917578 RXU917576:RXX917578 SHQ917576:SHT917578 SRM917576:SRP917578 TBI917576:TBL917578 TLE917576:TLH917578 TVA917576:TVD917578 UEW917576:UEZ917578 UOS917576:UOV917578 UYO917576:UYR917578 VIK917576:VIN917578 VSG917576:VSJ917578 WCC917576:WCF917578 WLY917576:WMB917578 WVU917576:WVX917578 M983112:P983114 JI983112:JL983114 TE983112:TH983114 ADA983112:ADD983114 AMW983112:AMZ983114 AWS983112:AWV983114 BGO983112:BGR983114 BQK983112:BQN983114 CAG983112:CAJ983114 CKC983112:CKF983114 CTY983112:CUB983114 DDU983112:DDX983114 DNQ983112:DNT983114 DXM983112:DXP983114 EHI983112:EHL983114 ERE983112:ERH983114 FBA983112:FBD983114 FKW983112:FKZ983114 FUS983112:FUV983114 GEO983112:GER983114 GOK983112:GON983114 GYG983112:GYJ983114 HIC983112:HIF983114 HRY983112:HSB983114 IBU983112:IBX983114 ILQ983112:ILT983114 IVM983112:IVP983114 JFI983112:JFL983114 JPE983112:JPH983114 JZA983112:JZD983114 KIW983112:KIZ983114 KSS983112:KSV983114 LCO983112:LCR983114 LMK983112:LMN983114 LWG983112:LWJ983114 MGC983112:MGF983114 MPY983112:MQB983114 MZU983112:MZX983114 NJQ983112:NJT983114 NTM983112:NTP983114 ODI983112:ODL983114 ONE983112:ONH983114 OXA983112:OXD983114 PGW983112:PGZ983114 PQS983112:PQV983114 QAO983112:QAR983114 QKK983112:QKN983114 QUG983112:QUJ983114 REC983112:REF983114 RNY983112:ROB983114 RXU983112:RXX983114 SHQ983112:SHT983114 SRM983112:SRP983114 TBI983112:TBL983114 TLE983112:TLH983114 TVA983112:TVD983114 UEW983112:UEZ983114 UOS983112:UOV983114 UYO983112:UYR983114 VIK983112:VIN983114 VSG983112:VSJ983114 WCC983112:WCF983114 WLY983112:WMB983114 WVU983112:WVX983114 M34:P53 JI34:JL53 TE34:TH53 ADA34:ADD53 AMW34:AMZ53 AWS34:AWV53 BGO34:BGR53 BQK34:BQN53 CAG34:CAJ53 CKC34:CKF53 CTY34:CUB53 DDU34:DDX53 DNQ34:DNT53 DXM34:DXP53 EHI34:EHL53 ERE34:ERH53 FBA34:FBD53 FKW34:FKZ53 FUS34:FUV53 GEO34:GER53 GOK34:GON53 GYG34:GYJ53 HIC34:HIF53 HRY34:HSB53 IBU34:IBX53 ILQ34:ILT53 IVM34:IVP53 JFI34:JFL53 JPE34:JPH53 JZA34:JZD53 KIW34:KIZ53 KSS34:KSV53 LCO34:LCR53 LMK34:LMN53 LWG34:LWJ53 MGC34:MGF53 MPY34:MQB53 MZU34:MZX53 NJQ34:NJT53 NTM34:NTP53 ODI34:ODL53 ONE34:ONH53 OXA34:OXD53 PGW34:PGZ53 PQS34:PQV53 QAO34:QAR53 QKK34:QKN53 QUG34:QUJ53 REC34:REF53 RNY34:ROB53 RXU34:RXX53 SHQ34:SHT53 SRM34:SRP53 TBI34:TBL53 TLE34:TLH53 TVA34:TVD53 UEW34:UEZ53 UOS34:UOV53 UYO34:UYR53 VIK34:VIN53 VSG34:VSJ53 WCC34:WCF53 WLY34:WMB53 WVU34:WVX53 M65570:P65589 JI65570:JL65589 TE65570:TH65589 ADA65570:ADD65589 AMW65570:AMZ65589 AWS65570:AWV65589 BGO65570:BGR65589 BQK65570:BQN65589 CAG65570:CAJ65589 CKC65570:CKF65589 CTY65570:CUB65589 DDU65570:DDX65589 DNQ65570:DNT65589 DXM65570:DXP65589 EHI65570:EHL65589 ERE65570:ERH65589 FBA65570:FBD65589 FKW65570:FKZ65589 FUS65570:FUV65589 GEO65570:GER65589 GOK65570:GON65589 GYG65570:GYJ65589 HIC65570:HIF65589 HRY65570:HSB65589 IBU65570:IBX65589 ILQ65570:ILT65589 IVM65570:IVP65589 JFI65570:JFL65589 JPE65570:JPH65589 JZA65570:JZD65589 KIW65570:KIZ65589 KSS65570:KSV65589 LCO65570:LCR65589 LMK65570:LMN65589 LWG65570:LWJ65589 MGC65570:MGF65589 MPY65570:MQB65589 MZU65570:MZX65589 NJQ65570:NJT65589 NTM65570:NTP65589 ODI65570:ODL65589 ONE65570:ONH65589 OXA65570:OXD65589 PGW65570:PGZ65589 PQS65570:PQV65589 QAO65570:QAR65589 QKK65570:QKN65589 QUG65570:QUJ65589 REC65570:REF65589 RNY65570:ROB65589 RXU65570:RXX65589 SHQ65570:SHT65589 SRM65570:SRP65589 TBI65570:TBL65589 TLE65570:TLH65589 TVA65570:TVD65589 UEW65570:UEZ65589 UOS65570:UOV65589 UYO65570:UYR65589 VIK65570:VIN65589 VSG65570:VSJ65589 WCC65570:WCF65589 WLY65570:WMB65589 WVU65570:WVX65589 M131106:P131125 JI131106:JL131125 TE131106:TH131125 ADA131106:ADD131125 AMW131106:AMZ131125 AWS131106:AWV131125 BGO131106:BGR131125 BQK131106:BQN131125 CAG131106:CAJ131125 CKC131106:CKF131125 CTY131106:CUB131125 DDU131106:DDX131125 DNQ131106:DNT131125 DXM131106:DXP131125 EHI131106:EHL131125 ERE131106:ERH131125 FBA131106:FBD131125 FKW131106:FKZ131125 FUS131106:FUV131125 GEO131106:GER131125 GOK131106:GON131125 GYG131106:GYJ131125 HIC131106:HIF131125 HRY131106:HSB131125 IBU131106:IBX131125 ILQ131106:ILT131125 IVM131106:IVP131125 JFI131106:JFL131125 JPE131106:JPH131125 JZA131106:JZD131125 KIW131106:KIZ131125 KSS131106:KSV131125 LCO131106:LCR131125 LMK131106:LMN131125 LWG131106:LWJ131125 MGC131106:MGF131125 MPY131106:MQB131125 MZU131106:MZX131125 NJQ131106:NJT131125 NTM131106:NTP131125 ODI131106:ODL131125 ONE131106:ONH131125 OXA131106:OXD131125 PGW131106:PGZ131125 PQS131106:PQV131125 QAO131106:QAR131125 QKK131106:QKN131125 QUG131106:QUJ131125 REC131106:REF131125 RNY131106:ROB131125 RXU131106:RXX131125 SHQ131106:SHT131125 SRM131106:SRP131125 TBI131106:TBL131125 TLE131106:TLH131125 TVA131106:TVD131125 UEW131106:UEZ131125 UOS131106:UOV131125 UYO131106:UYR131125 VIK131106:VIN131125 VSG131106:VSJ131125 WCC131106:WCF131125 WLY131106:WMB131125 WVU131106:WVX131125 M196642:P196661 JI196642:JL196661 TE196642:TH196661 ADA196642:ADD196661 AMW196642:AMZ196661 AWS196642:AWV196661 BGO196642:BGR196661 BQK196642:BQN196661 CAG196642:CAJ196661 CKC196642:CKF196661 CTY196642:CUB196661 DDU196642:DDX196661 DNQ196642:DNT196661 DXM196642:DXP196661 EHI196642:EHL196661 ERE196642:ERH196661 FBA196642:FBD196661 FKW196642:FKZ196661 FUS196642:FUV196661 GEO196642:GER196661 GOK196642:GON196661 GYG196642:GYJ196661 HIC196642:HIF196661 HRY196642:HSB196661 IBU196642:IBX196661 ILQ196642:ILT196661 IVM196642:IVP196661 JFI196642:JFL196661 JPE196642:JPH196661 JZA196642:JZD196661 KIW196642:KIZ196661 KSS196642:KSV196661 LCO196642:LCR196661 LMK196642:LMN196661 LWG196642:LWJ196661 MGC196642:MGF196661 MPY196642:MQB196661 MZU196642:MZX196661 NJQ196642:NJT196661 NTM196642:NTP196661 ODI196642:ODL196661 ONE196642:ONH196661 OXA196642:OXD196661 PGW196642:PGZ196661 PQS196642:PQV196661 QAO196642:QAR196661 QKK196642:QKN196661 QUG196642:QUJ196661 REC196642:REF196661 RNY196642:ROB196661 RXU196642:RXX196661 SHQ196642:SHT196661 SRM196642:SRP196661 TBI196642:TBL196661 TLE196642:TLH196661 TVA196642:TVD196661 UEW196642:UEZ196661 UOS196642:UOV196661 UYO196642:UYR196661 VIK196642:VIN196661 VSG196642:VSJ196661 WCC196642:WCF196661 WLY196642:WMB196661 WVU196642:WVX196661 M262178:P262197 JI262178:JL262197 TE262178:TH262197 ADA262178:ADD262197 AMW262178:AMZ262197 AWS262178:AWV262197 BGO262178:BGR262197 BQK262178:BQN262197 CAG262178:CAJ262197 CKC262178:CKF262197 CTY262178:CUB262197 DDU262178:DDX262197 DNQ262178:DNT262197 DXM262178:DXP262197 EHI262178:EHL262197 ERE262178:ERH262197 FBA262178:FBD262197 FKW262178:FKZ262197 FUS262178:FUV262197 GEO262178:GER262197 GOK262178:GON262197 GYG262178:GYJ262197 HIC262178:HIF262197 HRY262178:HSB262197 IBU262178:IBX262197 ILQ262178:ILT262197 IVM262178:IVP262197 JFI262178:JFL262197 JPE262178:JPH262197 JZA262178:JZD262197 KIW262178:KIZ262197 KSS262178:KSV262197 LCO262178:LCR262197 LMK262178:LMN262197 LWG262178:LWJ262197 MGC262178:MGF262197 MPY262178:MQB262197 MZU262178:MZX262197 NJQ262178:NJT262197 NTM262178:NTP262197 ODI262178:ODL262197 ONE262178:ONH262197 OXA262178:OXD262197 PGW262178:PGZ262197 PQS262178:PQV262197 QAO262178:QAR262197 QKK262178:QKN262197 QUG262178:QUJ262197 REC262178:REF262197 RNY262178:ROB262197 RXU262178:RXX262197 SHQ262178:SHT262197 SRM262178:SRP262197 TBI262178:TBL262197 TLE262178:TLH262197 TVA262178:TVD262197 UEW262178:UEZ262197 UOS262178:UOV262197 UYO262178:UYR262197 VIK262178:VIN262197 VSG262178:VSJ262197 WCC262178:WCF262197 WLY262178:WMB262197 WVU262178:WVX262197 M327714:P327733 JI327714:JL327733 TE327714:TH327733 ADA327714:ADD327733 AMW327714:AMZ327733 AWS327714:AWV327733 BGO327714:BGR327733 BQK327714:BQN327733 CAG327714:CAJ327733 CKC327714:CKF327733 CTY327714:CUB327733 DDU327714:DDX327733 DNQ327714:DNT327733 DXM327714:DXP327733 EHI327714:EHL327733 ERE327714:ERH327733 FBA327714:FBD327733 FKW327714:FKZ327733 FUS327714:FUV327733 GEO327714:GER327733 GOK327714:GON327733 GYG327714:GYJ327733 HIC327714:HIF327733 HRY327714:HSB327733 IBU327714:IBX327733 ILQ327714:ILT327733 IVM327714:IVP327733 JFI327714:JFL327733 JPE327714:JPH327733 JZA327714:JZD327733 KIW327714:KIZ327733 KSS327714:KSV327733 LCO327714:LCR327733 LMK327714:LMN327733 LWG327714:LWJ327733 MGC327714:MGF327733 MPY327714:MQB327733 MZU327714:MZX327733 NJQ327714:NJT327733 NTM327714:NTP327733 ODI327714:ODL327733 ONE327714:ONH327733 OXA327714:OXD327733 PGW327714:PGZ327733 PQS327714:PQV327733 QAO327714:QAR327733 QKK327714:QKN327733 QUG327714:QUJ327733 REC327714:REF327733 RNY327714:ROB327733 RXU327714:RXX327733 SHQ327714:SHT327733 SRM327714:SRP327733 TBI327714:TBL327733 TLE327714:TLH327733 TVA327714:TVD327733 UEW327714:UEZ327733 UOS327714:UOV327733 UYO327714:UYR327733 VIK327714:VIN327733 VSG327714:VSJ327733 WCC327714:WCF327733 WLY327714:WMB327733 WVU327714:WVX327733 M393250:P393269 JI393250:JL393269 TE393250:TH393269 ADA393250:ADD393269 AMW393250:AMZ393269 AWS393250:AWV393269 BGO393250:BGR393269 BQK393250:BQN393269 CAG393250:CAJ393269 CKC393250:CKF393269 CTY393250:CUB393269 DDU393250:DDX393269 DNQ393250:DNT393269 DXM393250:DXP393269 EHI393250:EHL393269 ERE393250:ERH393269 FBA393250:FBD393269 FKW393250:FKZ393269 FUS393250:FUV393269 GEO393250:GER393269 GOK393250:GON393269 GYG393250:GYJ393269 HIC393250:HIF393269 HRY393250:HSB393269 IBU393250:IBX393269 ILQ393250:ILT393269 IVM393250:IVP393269 JFI393250:JFL393269 JPE393250:JPH393269 JZA393250:JZD393269 KIW393250:KIZ393269 KSS393250:KSV393269 LCO393250:LCR393269 LMK393250:LMN393269 LWG393250:LWJ393269 MGC393250:MGF393269 MPY393250:MQB393269 MZU393250:MZX393269 NJQ393250:NJT393269 NTM393250:NTP393269 ODI393250:ODL393269 ONE393250:ONH393269 OXA393250:OXD393269 PGW393250:PGZ393269 PQS393250:PQV393269 QAO393250:QAR393269 QKK393250:QKN393269 QUG393250:QUJ393269 REC393250:REF393269 RNY393250:ROB393269 RXU393250:RXX393269 SHQ393250:SHT393269 SRM393250:SRP393269 TBI393250:TBL393269 TLE393250:TLH393269 TVA393250:TVD393269 UEW393250:UEZ393269 UOS393250:UOV393269 UYO393250:UYR393269 VIK393250:VIN393269 VSG393250:VSJ393269 WCC393250:WCF393269 WLY393250:WMB393269 WVU393250:WVX393269 M458786:P458805 JI458786:JL458805 TE458786:TH458805 ADA458786:ADD458805 AMW458786:AMZ458805 AWS458786:AWV458805 BGO458786:BGR458805 BQK458786:BQN458805 CAG458786:CAJ458805 CKC458786:CKF458805 CTY458786:CUB458805 DDU458786:DDX458805 DNQ458786:DNT458805 DXM458786:DXP458805 EHI458786:EHL458805 ERE458786:ERH458805 FBA458786:FBD458805 FKW458786:FKZ458805 FUS458786:FUV458805 GEO458786:GER458805 GOK458786:GON458805 GYG458786:GYJ458805 HIC458786:HIF458805 HRY458786:HSB458805 IBU458786:IBX458805 ILQ458786:ILT458805 IVM458786:IVP458805 JFI458786:JFL458805 JPE458786:JPH458805 JZA458786:JZD458805 KIW458786:KIZ458805 KSS458786:KSV458805 LCO458786:LCR458805 LMK458786:LMN458805 LWG458786:LWJ458805 MGC458786:MGF458805 MPY458786:MQB458805 MZU458786:MZX458805 NJQ458786:NJT458805 NTM458786:NTP458805 ODI458786:ODL458805 ONE458786:ONH458805 OXA458786:OXD458805 PGW458786:PGZ458805 PQS458786:PQV458805 QAO458786:QAR458805 QKK458786:QKN458805 QUG458786:QUJ458805 REC458786:REF458805 RNY458786:ROB458805 RXU458786:RXX458805 SHQ458786:SHT458805 SRM458786:SRP458805 TBI458786:TBL458805 TLE458786:TLH458805 TVA458786:TVD458805 UEW458786:UEZ458805 UOS458786:UOV458805 UYO458786:UYR458805 VIK458786:VIN458805 VSG458786:VSJ458805 WCC458786:WCF458805 WLY458786:WMB458805 WVU458786:WVX458805 M524322:P524341 JI524322:JL524341 TE524322:TH524341 ADA524322:ADD524341 AMW524322:AMZ524341 AWS524322:AWV524341 BGO524322:BGR524341 BQK524322:BQN524341 CAG524322:CAJ524341 CKC524322:CKF524341 CTY524322:CUB524341 DDU524322:DDX524341 DNQ524322:DNT524341 DXM524322:DXP524341 EHI524322:EHL524341 ERE524322:ERH524341 FBA524322:FBD524341 FKW524322:FKZ524341 FUS524322:FUV524341 GEO524322:GER524341 GOK524322:GON524341 GYG524322:GYJ524341 HIC524322:HIF524341 HRY524322:HSB524341 IBU524322:IBX524341 ILQ524322:ILT524341 IVM524322:IVP524341 JFI524322:JFL524341 JPE524322:JPH524341 JZA524322:JZD524341 KIW524322:KIZ524341 KSS524322:KSV524341 LCO524322:LCR524341 LMK524322:LMN524341 LWG524322:LWJ524341 MGC524322:MGF524341 MPY524322:MQB524341 MZU524322:MZX524341 NJQ524322:NJT524341 NTM524322:NTP524341 ODI524322:ODL524341 ONE524322:ONH524341 OXA524322:OXD524341 PGW524322:PGZ524341 PQS524322:PQV524341 QAO524322:QAR524341 QKK524322:QKN524341 QUG524322:QUJ524341 REC524322:REF524341 RNY524322:ROB524341 RXU524322:RXX524341 SHQ524322:SHT524341 SRM524322:SRP524341 TBI524322:TBL524341 TLE524322:TLH524341 TVA524322:TVD524341 UEW524322:UEZ524341 UOS524322:UOV524341 UYO524322:UYR524341 VIK524322:VIN524341 VSG524322:VSJ524341 WCC524322:WCF524341 WLY524322:WMB524341 WVU524322:WVX524341 M589858:P589877 JI589858:JL589877 TE589858:TH589877 ADA589858:ADD589877 AMW589858:AMZ589877 AWS589858:AWV589877 BGO589858:BGR589877 BQK589858:BQN589877 CAG589858:CAJ589877 CKC589858:CKF589877 CTY589858:CUB589877 DDU589858:DDX589877 DNQ589858:DNT589877 DXM589858:DXP589877 EHI589858:EHL589877 ERE589858:ERH589877 FBA589858:FBD589877 FKW589858:FKZ589877 FUS589858:FUV589877 GEO589858:GER589877 GOK589858:GON589877 GYG589858:GYJ589877 HIC589858:HIF589877 HRY589858:HSB589877 IBU589858:IBX589877 ILQ589858:ILT589877 IVM589858:IVP589877 JFI589858:JFL589877 JPE589858:JPH589877 JZA589858:JZD589877 KIW589858:KIZ589877 KSS589858:KSV589877 LCO589858:LCR589877 LMK589858:LMN589877 LWG589858:LWJ589877 MGC589858:MGF589877 MPY589858:MQB589877 MZU589858:MZX589877 NJQ589858:NJT589877 NTM589858:NTP589877 ODI589858:ODL589877 ONE589858:ONH589877 OXA589858:OXD589877 PGW589858:PGZ589877 PQS589858:PQV589877 QAO589858:QAR589877 QKK589858:QKN589877 QUG589858:QUJ589877 REC589858:REF589877 RNY589858:ROB589877 RXU589858:RXX589877 SHQ589858:SHT589877 SRM589858:SRP589877 TBI589858:TBL589877 TLE589858:TLH589877 TVA589858:TVD589877 UEW589858:UEZ589877 UOS589858:UOV589877 UYO589858:UYR589877 VIK589858:VIN589877 VSG589858:VSJ589877 WCC589858:WCF589877 WLY589858:WMB589877 WVU589858:WVX589877 M655394:P655413 JI655394:JL655413 TE655394:TH655413 ADA655394:ADD655413 AMW655394:AMZ655413 AWS655394:AWV655413 BGO655394:BGR655413 BQK655394:BQN655413 CAG655394:CAJ655413 CKC655394:CKF655413 CTY655394:CUB655413 DDU655394:DDX655413 DNQ655394:DNT655413 DXM655394:DXP655413 EHI655394:EHL655413 ERE655394:ERH655413 FBA655394:FBD655413 FKW655394:FKZ655413 FUS655394:FUV655413 GEO655394:GER655413 GOK655394:GON655413 GYG655394:GYJ655413 HIC655394:HIF655413 HRY655394:HSB655413 IBU655394:IBX655413 ILQ655394:ILT655413 IVM655394:IVP655413 JFI655394:JFL655413 JPE655394:JPH655413 JZA655394:JZD655413 KIW655394:KIZ655413 KSS655394:KSV655413 LCO655394:LCR655413 LMK655394:LMN655413 LWG655394:LWJ655413 MGC655394:MGF655413 MPY655394:MQB655413 MZU655394:MZX655413 NJQ655394:NJT655413 NTM655394:NTP655413 ODI655394:ODL655413 ONE655394:ONH655413 OXA655394:OXD655413 PGW655394:PGZ655413 PQS655394:PQV655413 QAO655394:QAR655413 QKK655394:QKN655413 QUG655394:QUJ655413 REC655394:REF655413 RNY655394:ROB655413 RXU655394:RXX655413 SHQ655394:SHT655413 SRM655394:SRP655413 TBI655394:TBL655413 TLE655394:TLH655413 TVA655394:TVD655413 UEW655394:UEZ655413 UOS655394:UOV655413 UYO655394:UYR655413 VIK655394:VIN655413 VSG655394:VSJ655413 WCC655394:WCF655413 WLY655394:WMB655413 WVU655394:WVX655413 M720930:P720949 JI720930:JL720949 TE720930:TH720949 ADA720930:ADD720949 AMW720930:AMZ720949 AWS720930:AWV720949 BGO720930:BGR720949 BQK720930:BQN720949 CAG720930:CAJ720949 CKC720930:CKF720949 CTY720930:CUB720949 DDU720930:DDX720949 DNQ720930:DNT720949 DXM720930:DXP720949 EHI720930:EHL720949 ERE720930:ERH720949 FBA720930:FBD720949 FKW720930:FKZ720949 FUS720930:FUV720949 GEO720930:GER720949 GOK720930:GON720949 GYG720930:GYJ720949 HIC720930:HIF720949 HRY720930:HSB720949 IBU720930:IBX720949 ILQ720930:ILT720949 IVM720930:IVP720949 JFI720930:JFL720949 JPE720930:JPH720949 JZA720930:JZD720949 KIW720930:KIZ720949 KSS720930:KSV720949 LCO720930:LCR720949 LMK720930:LMN720949 LWG720930:LWJ720949 MGC720930:MGF720949 MPY720930:MQB720949 MZU720930:MZX720949 NJQ720930:NJT720949 NTM720930:NTP720949 ODI720930:ODL720949 ONE720930:ONH720949 OXA720930:OXD720949 PGW720930:PGZ720949 PQS720930:PQV720949 QAO720930:QAR720949 QKK720930:QKN720949 QUG720930:QUJ720949 REC720930:REF720949 RNY720930:ROB720949 RXU720930:RXX720949 SHQ720930:SHT720949 SRM720930:SRP720949 TBI720930:TBL720949 TLE720930:TLH720949 TVA720930:TVD720949 UEW720930:UEZ720949 UOS720930:UOV720949 UYO720930:UYR720949 VIK720930:VIN720949 VSG720930:VSJ720949 WCC720930:WCF720949 WLY720930:WMB720949 WVU720930:WVX720949 M786466:P786485 JI786466:JL786485 TE786466:TH786485 ADA786466:ADD786485 AMW786466:AMZ786485 AWS786466:AWV786485 BGO786466:BGR786485 BQK786466:BQN786485 CAG786466:CAJ786485 CKC786466:CKF786485 CTY786466:CUB786485 DDU786466:DDX786485 DNQ786466:DNT786485 DXM786466:DXP786485 EHI786466:EHL786485 ERE786466:ERH786485 FBA786466:FBD786485 FKW786466:FKZ786485 FUS786466:FUV786485 GEO786466:GER786485 GOK786466:GON786485 GYG786466:GYJ786485 HIC786466:HIF786485 HRY786466:HSB786485 IBU786466:IBX786485 ILQ786466:ILT786485 IVM786466:IVP786485 JFI786466:JFL786485 JPE786466:JPH786485 JZA786466:JZD786485 KIW786466:KIZ786485 KSS786466:KSV786485 LCO786466:LCR786485 LMK786466:LMN786485 LWG786466:LWJ786485 MGC786466:MGF786485 MPY786466:MQB786485 MZU786466:MZX786485 NJQ786466:NJT786485 NTM786466:NTP786485 ODI786466:ODL786485 ONE786466:ONH786485 OXA786466:OXD786485 PGW786466:PGZ786485 PQS786466:PQV786485 QAO786466:QAR786485 QKK786466:QKN786485 QUG786466:QUJ786485 REC786466:REF786485 RNY786466:ROB786485 RXU786466:RXX786485 SHQ786466:SHT786485 SRM786466:SRP786485 TBI786466:TBL786485 TLE786466:TLH786485 TVA786466:TVD786485 UEW786466:UEZ786485 UOS786466:UOV786485 UYO786466:UYR786485 VIK786466:VIN786485 VSG786466:VSJ786485 WCC786466:WCF786485 WLY786466:WMB786485 WVU786466:WVX786485 M852002:P852021 JI852002:JL852021 TE852002:TH852021 ADA852002:ADD852021 AMW852002:AMZ852021 AWS852002:AWV852021 BGO852002:BGR852021 BQK852002:BQN852021 CAG852002:CAJ852021 CKC852002:CKF852021 CTY852002:CUB852021 DDU852002:DDX852021 DNQ852002:DNT852021 DXM852002:DXP852021 EHI852002:EHL852021 ERE852002:ERH852021 FBA852002:FBD852021 FKW852002:FKZ852021 FUS852002:FUV852021 GEO852002:GER852021 GOK852002:GON852021 GYG852002:GYJ852021 HIC852002:HIF852021 HRY852002:HSB852021 IBU852002:IBX852021 ILQ852002:ILT852021 IVM852002:IVP852021 JFI852002:JFL852021 JPE852002:JPH852021 JZA852002:JZD852021 KIW852002:KIZ852021 KSS852002:KSV852021 LCO852002:LCR852021 LMK852002:LMN852021 LWG852002:LWJ852021 MGC852002:MGF852021 MPY852002:MQB852021 MZU852002:MZX852021 NJQ852002:NJT852021 NTM852002:NTP852021 ODI852002:ODL852021 ONE852002:ONH852021 OXA852002:OXD852021 PGW852002:PGZ852021 PQS852002:PQV852021 QAO852002:QAR852021 QKK852002:QKN852021 QUG852002:QUJ852021 REC852002:REF852021 RNY852002:ROB852021 RXU852002:RXX852021 SHQ852002:SHT852021 SRM852002:SRP852021 TBI852002:TBL852021 TLE852002:TLH852021 TVA852002:TVD852021 UEW852002:UEZ852021 UOS852002:UOV852021 UYO852002:UYR852021 VIK852002:VIN852021 VSG852002:VSJ852021 WCC852002:WCF852021 WLY852002:WMB852021 WVU852002:WVX852021 M917538:P917557 JI917538:JL917557 TE917538:TH917557 ADA917538:ADD917557 AMW917538:AMZ917557 AWS917538:AWV917557 BGO917538:BGR917557 BQK917538:BQN917557 CAG917538:CAJ917557 CKC917538:CKF917557 CTY917538:CUB917557 DDU917538:DDX917557 DNQ917538:DNT917557 DXM917538:DXP917557 EHI917538:EHL917557 ERE917538:ERH917557 FBA917538:FBD917557 FKW917538:FKZ917557 FUS917538:FUV917557 GEO917538:GER917557 GOK917538:GON917557 GYG917538:GYJ917557 HIC917538:HIF917557 HRY917538:HSB917557 IBU917538:IBX917557 ILQ917538:ILT917557 IVM917538:IVP917557 JFI917538:JFL917557 JPE917538:JPH917557 JZA917538:JZD917557 KIW917538:KIZ917557 KSS917538:KSV917557 LCO917538:LCR917557 LMK917538:LMN917557 LWG917538:LWJ917557 MGC917538:MGF917557 MPY917538:MQB917557 MZU917538:MZX917557 NJQ917538:NJT917557 NTM917538:NTP917557 ODI917538:ODL917557 ONE917538:ONH917557 OXA917538:OXD917557 PGW917538:PGZ917557 PQS917538:PQV917557 QAO917538:QAR917557 QKK917538:QKN917557 QUG917538:QUJ917557 REC917538:REF917557 RNY917538:ROB917557 RXU917538:RXX917557 SHQ917538:SHT917557 SRM917538:SRP917557 TBI917538:TBL917557 TLE917538:TLH917557 TVA917538:TVD917557 UEW917538:UEZ917557 UOS917538:UOV917557 UYO917538:UYR917557 VIK917538:VIN917557 VSG917538:VSJ917557 WCC917538:WCF917557 WLY917538:WMB917557 WVU917538:WVX917557 M983074:P983093 JI983074:JL983093 TE983074:TH983093 ADA983074:ADD983093 AMW983074:AMZ983093 AWS983074:AWV983093 BGO983074:BGR983093 BQK983074:BQN983093 CAG983074:CAJ983093 CKC983074:CKF983093 CTY983074:CUB983093 DDU983074:DDX983093 DNQ983074:DNT983093 DXM983074:DXP983093 EHI983074:EHL983093 ERE983074:ERH983093 FBA983074:FBD983093 FKW983074:FKZ983093 FUS983074:FUV983093 GEO983074:GER983093 GOK983074:GON983093 GYG983074:GYJ983093 HIC983074:HIF983093 HRY983074:HSB983093 IBU983074:IBX983093 ILQ983074:ILT983093 IVM983074:IVP983093 JFI983074:JFL983093 JPE983074:JPH983093 JZA983074:JZD983093 KIW983074:KIZ983093 KSS983074:KSV983093 LCO983074:LCR983093 LMK983074:LMN983093 LWG983074:LWJ983093 MGC983074:MGF983093 MPY983074:MQB983093 MZU983074:MZX983093 NJQ983074:NJT983093 NTM983074:NTP983093 ODI983074:ODL983093 ONE983074:ONH983093 OXA983074:OXD983093 PGW983074:PGZ983093 PQS983074:PQV983093 QAO983074:QAR983093 QKK983074:QKN983093 QUG983074:QUJ983093 REC983074:REF983093 RNY983074:ROB983093 RXU983074:RXX983093 SHQ983074:SHT983093 SRM983074:SRP983093 TBI983074:TBL983093 TLE983074:TLH983093 TVA983074:TVD983093 UEW983074:UEZ983093 UOS983074:UOV983093 UYO983074:UYR983093 VIK983074:VIN983093 VSG983074:VSJ983093 WCC983074:WCF983093 WLY983074:WMB983093 WVU983074:WVX983093 H34:K53 JD34:JG53 SZ34:TC53 ACV34:ACY53 AMR34:AMU53 AWN34:AWQ53 BGJ34:BGM53 BQF34:BQI53 CAB34:CAE53 CJX34:CKA53 CTT34:CTW53 DDP34:DDS53 DNL34:DNO53 DXH34:DXK53 EHD34:EHG53 EQZ34:ERC53 FAV34:FAY53 FKR34:FKU53 FUN34:FUQ53 GEJ34:GEM53 GOF34:GOI53 GYB34:GYE53 HHX34:HIA53 HRT34:HRW53 IBP34:IBS53 ILL34:ILO53 IVH34:IVK53 JFD34:JFG53 JOZ34:JPC53 JYV34:JYY53 KIR34:KIU53 KSN34:KSQ53 LCJ34:LCM53 LMF34:LMI53 LWB34:LWE53 MFX34:MGA53 MPT34:MPW53 MZP34:MZS53 NJL34:NJO53 NTH34:NTK53 ODD34:ODG53 OMZ34:ONC53 OWV34:OWY53 PGR34:PGU53 PQN34:PQQ53 QAJ34:QAM53 QKF34:QKI53 QUB34:QUE53 RDX34:REA53 RNT34:RNW53 RXP34:RXS53 SHL34:SHO53 SRH34:SRK53 TBD34:TBG53 TKZ34:TLC53 TUV34:TUY53 UER34:UEU53 UON34:UOQ53 UYJ34:UYM53 VIF34:VII53 VSB34:VSE53 WBX34:WCA53 WLT34:WLW53 WVP34:WVS53 H65570:K65589 JD65570:JG65589 SZ65570:TC65589 ACV65570:ACY65589 AMR65570:AMU65589 AWN65570:AWQ65589 BGJ65570:BGM65589 BQF65570:BQI65589 CAB65570:CAE65589 CJX65570:CKA65589 CTT65570:CTW65589 DDP65570:DDS65589 DNL65570:DNO65589 DXH65570:DXK65589 EHD65570:EHG65589 EQZ65570:ERC65589 FAV65570:FAY65589 FKR65570:FKU65589 FUN65570:FUQ65589 GEJ65570:GEM65589 GOF65570:GOI65589 GYB65570:GYE65589 HHX65570:HIA65589 HRT65570:HRW65589 IBP65570:IBS65589 ILL65570:ILO65589 IVH65570:IVK65589 JFD65570:JFG65589 JOZ65570:JPC65589 JYV65570:JYY65589 KIR65570:KIU65589 KSN65570:KSQ65589 LCJ65570:LCM65589 LMF65570:LMI65589 LWB65570:LWE65589 MFX65570:MGA65589 MPT65570:MPW65589 MZP65570:MZS65589 NJL65570:NJO65589 NTH65570:NTK65589 ODD65570:ODG65589 OMZ65570:ONC65589 OWV65570:OWY65589 PGR65570:PGU65589 PQN65570:PQQ65589 QAJ65570:QAM65589 QKF65570:QKI65589 QUB65570:QUE65589 RDX65570:REA65589 RNT65570:RNW65589 RXP65570:RXS65589 SHL65570:SHO65589 SRH65570:SRK65589 TBD65570:TBG65589 TKZ65570:TLC65589 TUV65570:TUY65589 UER65570:UEU65589 UON65570:UOQ65589 UYJ65570:UYM65589 VIF65570:VII65589 VSB65570:VSE65589 WBX65570:WCA65589 WLT65570:WLW65589 WVP65570:WVS65589 H131106:K131125 JD131106:JG131125 SZ131106:TC131125 ACV131106:ACY131125 AMR131106:AMU131125 AWN131106:AWQ131125 BGJ131106:BGM131125 BQF131106:BQI131125 CAB131106:CAE131125 CJX131106:CKA131125 CTT131106:CTW131125 DDP131106:DDS131125 DNL131106:DNO131125 DXH131106:DXK131125 EHD131106:EHG131125 EQZ131106:ERC131125 FAV131106:FAY131125 FKR131106:FKU131125 FUN131106:FUQ131125 GEJ131106:GEM131125 GOF131106:GOI131125 GYB131106:GYE131125 HHX131106:HIA131125 HRT131106:HRW131125 IBP131106:IBS131125 ILL131106:ILO131125 IVH131106:IVK131125 JFD131106:JFG131125 JOZ131106:JPC131125 JYV131106:JYY131125 KIR131106:KIU131125 KSN131106:KSQ131125 LCJ131106:LCM131125 LMF131106:LMI131125 LWB131106:LWE131125 MFX131106:MGA131125 MPT131106:MPW131125 MZP131106:MZS131125 NJL131106:NJO131125 NTH131106:NTK131125 ODD131106:ODG131125 OMZ131106:ONC131125 OWV131106:OWY131125 PGR131106:PGU131125 PQN131106:PQQ131125 QAJ131106:QAM131125 QKF131106:QKI131125 QUB131106:QUE131125 RDX131106:REA131125 RNT131106:RNW131125 RXP131106:RXS131125 SHL131106:SHO131125 SRH131106:SRK131125 TBD131106:TBG131125 TKZ131106:TLC131125 TUV131106:TUY131125 UER131106:UEU131125 UON131106:UOQ131125 UYJ131106:UYM131125 VIF131106:VII131125 VSB131106:VSE131125 WBX131106:WCA131125 WLT131106:WLW131125 WVP131106:WVS131125 H196642:K196661 JD196642:JG196661 SZ196642:TC196661 ACV196642:ACY196661 AMR196642:AMU196661 AWN196642:AWQ196661 BGJ196642:BGM196661 BQF196642:BQI196661 CAB196642:CAE196661 CJX196642:CKA196661 CTT196642:CTW196661 DDP196642:DDS196661 DNL196642:DNO196661 DXH196642:DXK196661 EHD196642:EHG196661 EQZ196642:ERC196661 FAV196642:FAY196661 FKR196642:FKU196661 FUN196642:FUQ196661 GEJ196642:GEM196661 GOF196642:GOI196661 GYB196642:GYE196661 HHX196642:HIA196661 HRT196642:HRW196661 IBP196642:IBS196661 ILL196642:ILO196661 IVH196642:IVK196661 JFD196642:JFG196661 JOZ196642:JPC196661 JYV196642:JYY196661 KIR196642:KIU196661 KSN196642:KSQ196661 LCJ196642:LCM196661 LMF196642:LMI196661 LWB196642:LWE196661 MFX196642:MGA196661 MPT196642:MPW196661 MZP196642:MZS196661 NJL196642:NJO196661 NTH196642:NTK196661 ODD196642:ODG196661 OMZ196642:ONC196661 OWV196642:OWY196661 PGR196642:PGU196661 PQN196642:PQQ196661 QAJ196642:QAM196661 QKF196642:QKI196661 QUB196642:QUE196661 RDX196642:REA196661 RNT196642:RNW196661 RXP196642:RXS196661 SHL196642:SHO196661 SRH196642:SRK196661 TBD196642:TBG196661 TKZ196642:TLC196661 TUV196642:TUY196661 UER196642:UEU196661 UON196642:UOQ196661 UYJ196642:UYM196661 VIF196642:VII196661 VSB196642:VSE196661 WBX196642:WCA196661 WLT196642:WLW196661 WVP196642:WVS196661 H262178:K262197 JD262178:JG262197 SZ262178:TC262197 ACV262178:ACY262197 AMR262178:AMU262197 AWN262178:AWQ262197 BGJ262178:BGM262197 BQF262178:BQI262197 CAB262178:CAE262197 CJX262178:CKA262197 CTT262178:CTW262197 DDP262178:DDS262197 DNL262178:DNO262197 DXH262178:DXK262197 EHD262178:EHG262197 EQZ262178:ERC262197 FAV262178:FAY262197 FKR262178:FKU262197 FUN262178:FUQ262197 GEJ262178:GEM262197 GOF262178:GOI262197 GYB262178:GYE262197 HHX262178:HIA262197 HRT262178:HRW262197 IBP262178:IBS262197 ILL262178:ILO262197 IVH262178:IVK262197 JFD262178:JFG262197 JOZ262178:JPC262197 JYV262178:JYY262197 KIR262178:KIU262197 KSN262178:KSQ262197 LCJ262178:LCM262197 LMF262178:LMI262197 LWB262178:LWE262197 MFX262178:MGA262197 MPT262178:MPW262197 MZP262178:MZS262197 NJL262178:NJO262197 NTH262178:NTK262197 ODD262178:ODG262197 OMZ262178:ONC262197 OWV262178:OWY262197 PGR262178:PGU262197 PQN262178:PQQ262197 QAJ262178:QAM262197 QKF262178:QKI262197 QUB262178:QUE262197 RDX262178:REA262197 RNT262178:RNW262197 RXP262178:RXS262197 SHL262178:SHO262197 SRH262178:SRK262197 TBD262178:TBG262197 TKZ262178:TLC262197 TUV262178:TUY262197 UER262178:UEU262197 UON262178:UOQ262197 UYJ262178:UYM262197 VIF262178:VII262197 VSB262178:VSE262197 WBX262178:WCA262197 WLT262178:WLW262197 WVP262178:WVS262197 H327714:K327733 JD327714:JG327733 SZ327714:TC327733 ACV327714:ACY327733 AMR327714:AMU327733 AWN327714:AWQ327733 BGJ327714:BGM327733 BQF327714:BQI327733 CAB327714:CAE327733 CJX327714:CKA327733 CTT327714:CTW327733 DDP327714:DDS327733 DNL327714:DNO327733 DXH327714:DXK327733 EHD327714:EHG327733 EQZ327714:ERC327733 FAV327714:FAY327733 FKR327714:FKU327733 FUN327714:FUQ327733 GEJ327714:GEM327733 GOF327714:GOI327733 GYB327714:GYE327733 HHX327714:HIA327733 HRT327714:HRW327733 IBP327714:IBS327733 ILL327714:ILO327733 IVH327714:IVK327733 JFD327714:JFG327733 JOZ327714:JPC327733 JYV327714:JYY327733 KIR327714:KIU327733 KSN327714:KSQ327733 LCJ327714:LCM327733 LMF327714:LMI327733 LWB327714:LWE327733 MFX327714:MGA327733 MPT327714:MPW327733 MZP327714:MZS327733 NJL327714:NJO327733 NTH327714:NTK327733 ODD327714:ODG327733 OMZ327714:ONC327733 OWV327714:OWY327733 PGR327714:PGU327733 PQN327714:PQQ327733 QAJ327714:QAM327733 QKF327714:QKI327733 QUB327714:QUE327733 RDX327714:REA327733 RNT327714:RNW327733 RXP327714:RXS327733 SHL327714:SHO327733 SRH327714:SRK327733 TBD327714:TBG327733 TKZ327714:TLC327733 TUV327714:TUY327733 UER327714:UEU327733 UON327714:UOQ327733 UYJ327714:UYM327733 VIF327714:VII327733 VSB327714:VSE327733 WBX327714:WCA327733 WLT327714:WLW327733 WVP327714:WVS327733 H393250:K393269 JD393250:JG393269 SZ393250:TC393269 ACV393250:ACY393269 AMR393250:AMU393269 AWN393250:AWQ393269 BGJ393250:BGM393269 BQF393250:BQI393269 CAB393250:CAE393269 CJX393250:CKA393269 CTT393250:CTW393269 DDP393250:DDS393269 DNL393250:DNO393269 DXH393250:DXK393269 EHD393250:EHG393269 EQZ393250:ERC393269 FAV393250:FAY393269 FKR393250:FKU393269 FUN393250:FUQ393269 GEJ393250:GEM393269 GOF393250:GOI393269 GYB393250:GYE393269 HHX393250:HIA393269 HRT393250:HRW393269 IBP393250:IBS393269 ILL393250:ILO393269 IVH393250:IVK393269 JFD393250:JFG393269 JOZ393250:JPC393269 JYV393250:JYY393269 KIR393250:KIU393269 KSN393250:KSQ393269 LCJ393250:LCM393269 LMF393250:LMI393269 LWB393250:LWE393269 MFX393250:MGA393269 MPT393250:MPW393269 MZP393250:MZS393269 NJL393250:NJO393269 NTH393250:NTK393269 ODD393250:ODG393269 OMZ393250:ONC393269 OWV393250:OWY393269 PGR393250:PGU393269 PQN393250:PQQ393269 QAJ393250:QAM393269 QKF393250:QKI393269 QUB393250:QUE393269 RDX393250:REA393269 RNT393250:RNW393269 RXP393250:RXS393269 SHL393250:SHO393269 SRH393250:SRK393269 TBD393250:TBG393269 TKZ393250:TLC393269 TUV393250:TUY393269 UER393250:UEU393269 UON393250:UOQ393269 UYJ393250:UYM393269 VIF393250:VII393269 VSB393250:VSE393269 WBX393250:WCA393269 WLT393250:WLW393269 WVP393250:WVS393269 H458786:K458805 JD458786:JG458805 SZ458786:TC458805 ACV458786:ACY458805 AMR458786:AMU458805 AWN458786:AWQ458805 BGJ458786:BGM458805 BQF458786:BQI458805 CAB458786:CAE458805 CJX458786:CKA458805 CTT458786:CTW458805 DDP458786:DDS458805 DNL458786:DNO458805 DXH458786:DXK458805 EHD458786:EHG458805 EQZ458786:ERC458805 FAV458786:FAY458805 FKR458786:FKU458805 FUN458786:FUQ458805 GEJ458786:GEM458805 GOF458786:GOI458805 GYB458786:GYE458805 HHX458786:HIA458805 HRT458786:HRW458805 IBP458786:IBS458805 ILL458786:ILO458805 IVH458786:IVK458805 JFD458786:JFG458805 JOZ458786:JPC458805 JYV458786:JYY458805 KIR458786:KIU458805 KSN458786:KSQ458805 LCJ458786:LCM458805 LMF458786:LMI458805 LWB458786:LWE458805 MFX458786:MGA458805 MPT458786:MPW458805 MZP458786:MZS458805 NJL458786:NJO458805 NTH458786:NTK458805 ODD458786:ODG458805 OMZ458786:ONC458805 OWV458786:OWY458805 PGR458786:PGU458805 PQN458786:PQQ458805 QAJ458786:QAM458805 QKF458786:QKI458805 QUB458786:QUE458805 RDX458786:REA458805 RNT458786:RNW458805 RXP458786:RXS458805 SHL458786:SHO458805 SRH458786:SRK458805 TBD458786:TBG458805 TKZ458786:TLC458805 TUV458786:TUY458805 UER458786:UEU458805 UON458786:UOQ458805 UYJ458786:UYM458805 VIF458786:VII458805 VSB458786:VSE458805 WBX458786:WCA458805 WLT458786:WLW458805 WVP458786:WVS458805 H524322:K524341 JD524322:JG524341 SZ524322:TC524341 ACV524322:ACY524341 AMR524322:AMU524341 AWN524322:AWQ524341 BGJ524322:BGM524341 BQF524322:BQI524341 CAB524322:CAE524341 CJX524322:CKA524341 CTT524322:CTW524341 DDP524322:DDS524341 DNL524322:DNO524341 DXH524322:DXK524341 EHD524322:EHG524341 EQZ524322:ERC524341 FAV524322:FAY524341 FKR524322:FKU524341 FUN524322:FUQ524341 GEJ524322:GEM524341 GOF524322:GOI524341 GYB524322:GYE524341 HHX524322:HIA524341 HRT524322:HRW524341 IBP524322:IBS524341 ILL524322:ILO524341 IVH524322:IVK524341 JFD524322:JFG524341 JOZ524322:JPC524341 JYV524322:JYY524341 KIR524322:KIU524341 KSN524322:KSQ524341 LCJ524322:LCM524341 LMF524322:LMI524341 LWB524322:LWE524341 MFX524322:MGA524341 MPT524322:MPW524341 MZP524322:MZS524341 NJL524322:NJO524341 NTH524322:NTK524341 ODD524322:ODG524341 OMZ524322:ONC524341 OWV524322:OWY524341 PGR524322:PGU524341 PQN524322:PQQ524341 QAJ524322:QAM524341 QKF524322:QKI524341 QUB524322:QUE524341 RDX524322:REA524341 RNT524322:RNW524341 RXP524322:RXS524341 SHL524322:SHO524341 SRH524322:SRK524341 TBD524322:TBG524341 TKZ524322:TLC524341 TUV524322:TUY524341 UER524322:UEU524341 UON524322:UOQ524341 UYJ524322:UYM524341 VIF524322:VII524341 VSB524322:VSE524341 WBX524322:WCA524341 WLT524322:WLW524341 WVP524322:WVS524341 H589858:K589877 JD589858:JG589877 SZ589858:TC589877 ACV589858:ACY589877 AMR589858:AMU589877 AWN589858:AWQ589877 BGJ589858:BGM589877 BQF589858:BQI589877 CAB589858:CAE589877 CJX589858:CKA589877 CTT589858:CTW589877 DDP589858:DDS589877 DNL589858:DNO589877 DXH589858:DXK589877 EHD589858:EHG589877 EQZ589858:ERC589877 FAV589858:FAY589877 FKR589858:FKU589877 FUN589858:FUQ589877 GEJ589858:GEM589877 GOF589858:GOI589877 GYB589858:GYE589877 HHX589858:HIA589877 HRT589858:HRW589877 IBP589858:IBS589877 ILL589858:ILO589877 IVH589858:IVK589877 JFD589858:JFG589877 JOZ589858:JPC589877 JYV589858:JYY589877 KIR589858:KIU589877 KSN589858:KSQ589877 LCJ589858:LCM589877 LMF589858:LMI589877 LWB589858:LWE589877 MFX589858:MGA589877 MPT589858:MPW589877 MZP589858:MZS589877 NJL589858:NJO589877 NTH589858:NTK589877 ODD589858:ODG589877 OMZ589858:ONC589877 OWV589858:OWY589877 PGR589858:PGU589877 PQN589858:PQQ589877 QAJ589858:QAM589877 QKF589858:QKI589877 QUB589858:QUE589877 RDX589858:REA589877 RNT589858:RNW589877 RXP589858:RXS589877 SHL589858:SHO589877 SRH589858:SRK589877 TBD589858:TBG589877 TKZ589858:TLC589877 TUV589858:TUY589877 UER589858:UEU589877 UON589858:UOQ589877 UYJ589858:UYM589877 VIF589858:VII589877 VSB589858:VSE589877 WBX589858:WCA589877 WLT589858:WLW589877 WVP589858:WVS589877 H655394:K655413 JD655394:JG655413 SZ655394:TC655413 ACV655394:ACY655413 AMR655394:AMU655413 AWN655394:AWQ655413 BGJ655394:BGM655413 BQF655394:BQI655413 CAB655394:CAE655413 CJX655394:CKA655413 CTT655394:CTW655413 DDP655394:DDS655413 DNL655394:DNO655413 DXH655394:DXK655413 EHD655394:EHG655413 EQZ655394:ERC655413 FAV655394:FAY655413 FKR655394:FKU655413 FUN655394:FUQ655413 GEJ655394:GEM655413 GOF655394:GOI655413 GYB655394:GYE655413 HHX655394:HIA655413 HRT655394:HRW655413 IBP655394:IBS655413 ILL655394:ILO655413 IVH655394:IVK655413 JFD655394:JFG655413 JOZ655394:JPC655413 JYV655394:JYY655413 KIR655394:KIU655413 KSN655394:KSQ655413 LCJ655394:LCM655413 LMF655394:LMI655413 LWB655394:LWE655413 MFX655394:MGA655413 MPT655394:MPW655413 MZP655394:MZS655413 NJL655394:NJO655413 NTH655394:NTK655413 ODD655394:ODG655413 OMZ655394:ONC655413 OWV655394:OWY655413 PGR655394:PGU655413 PQN655394:PQQ655413 QAJ655394:QAM655413 QKF655394:QKI655413 QUB655394:QUE655413 RDX655394:REA655413 RNT655394:RNW655413 RXP655394:RXS655413 SHL655394:SHO655413 SRH655394:SRK655413 TBD655394:TBG655413 TKZ655394:TLC655413 TUV655394:TUY655413 UER655394:UEU655413 UON655394:UOQ655413 UYJ655394:UYM655413 VIF655394:VII655413 VSB655394:VSE655413 WBX655394:WCA655413 WLT655394:WLW655413 WVP655394:WVS655413 H720930:K720949 JD720930:JG720949 SZ720930:TC720949 ACV720930:ACY720949 AMR720930:AMU720949 AWN720930:AWQ720949 BGJ720930:BGM720949 BQF720930:BQI720949 CAB720930:CAE720949 CJX720930:CKA720949 CTT720930:CTW720949 DDP720930:DDS720949 DNL720930:DNO720949 DXH720930:DXK720949 EHD720930:EHG720949 EQZ720930:ERC720949 FAV720930:FAY720949 FKR720930:FKU720949 FUN720930:FUQ720949 GEJ720930:GEM720949 GOF720930:GOI720949 GYB720930:GYE720949 HHX720930:HIA720949 HRT720930:HRW720949 IBP720930:IBS720949 ILL720930:ILO720949 IVH720930:IVK720949 JFD720930:JFG720949 JOZ720930:JPC720949 JYV720930:JYY720949 KIR720930:KIU720949 KSN720930:KSQ720949 LCJ720930:LCM720949 LMF720930:LMI720949 LWB720930:LWE720949 MFX720930:MGA720949 MPT720930:MPW720949 MZP720930:MZS720949 NJL720930:NJO720949 NTH720930:NTK720949 ODD720930:ODG720949 OMZ720930:ONC720949 OWV720930:OWY720949 PGR720930:PGU720949 PQN720930:PQQ720949 QAJ720930:QAM720949 QKF720930:QKI720949 QUB720930:QUE720949 RDX720930:REA720949 RNT720930:RNW720949 RXP720930:RXS720949 SHL720930:SHO720949 SRH720930:SRK720949 TBD720930:TBG720949 TKZ720930:TLC720949 TUV720930:TUY720949 UER720930:UEU720949 UON720930:UOQ720949 UYJ720930:UYM720949 VIF720930:VII720949 VSB720930:VSE720949 WBX720930:WCA720949 WLT720930:WLW720949 WVP720930:WVS720949 H786466:K786485 JD786466:JG786485 SZ786466:TC786485 ACV786466:ACY786485 AMR786466:AMU786485 AWN786466:AWQ786485 BGJ786466:BGM786485 BQF786466:BQI786485 CAB786466:CAE786485 CJX786466:CKA786485 CTT786466:CTW786485 DDP786466:DDS786485 DNL786466:DNO786485 DXH786466:DXK786485 EHD786466:EHG786485 EQZ786466:ERC786485 FAV786466:FAY786485 FKR786466:FKU786485 FUN786466:FUQ786485 GEJ786466:GEM786485 GOF786466:GOI786485 GYB786466:GYE786485 HHX786466:HIA786485 HRT786466:HRW786485 IBP786466:IBS786485 ILL786466:ILO786485 IVH786466:IVK786485 JFD786466:JFG786485 JOZ786466:JPC786485 JYV786466:JYY786485 KIR786466:KIU786485 KSN786466:KSQ786485 LCJ786466:LCM786485 LMF786466:LMI786485 LWB786466:LWE786485 MFX786466:MGA786485 MPT786466:MPW786485 MZP786466:MZS786485 NJL786466:NJO786485 NTH786466:NTK786485 ODD786466:ODG786485 OMZ786466:ONC786485 OWV786466:OWY786485 PGR786466:PGU786485 PQN786466:PQQ786485 QAJ786466:QAM786485 QKF786466:QKI786485 QUB786466:QUE786485 RDX786466:REA786485 RNT786466:RNW786485 RXP786466:RXS786485 SHL786466:SHO786485 SRH786466:SRK786485 TBD786466:TBG786485 TKZ786466:TLC786485 TUV786466:TUY786485 UER786466:UEU786485 UON786466:UOQ786485 UYJ786466:UYM786485 VIF786466:VII786485 VSB786466:VSE786485 WBX786466:WCA786485 WLT786466:WLW786485 WVP786466:WVS786485 H852002:K852021 JD852002:JG852021 SZ852002:TC852021 ACV852002:ACY852021 AMR852002:AMU852021 AWN852002:AWQ852021 BGJ852002:BGM852021 BQF852002:BQI852021 CAB852002:CAE852021 CJX852002:CKA852021 CTT852002:CTW852021 DDP852002:DDS852021 DNL852002:DNO852021 DXH852002:DXK852021 EHD852002:EHG852021 EQZ852002:ERC852021 FAV852002:FAY852021 FKR852002:FKU852021 FUN852002:FUQ852021 GEJ852002:GEM852021 GOF852002:GOI852021 GYB852002:GYE852021 HHX852002:HIA852021 HRT852002:HRW852021 IBP852002:IBS852021 ILL852002:ILO852021 IVH852002:IVK852021 JFD852002:JFG852021 JOZ852002:JPC852021 JYV852002:JYY852021 KIR852002:KIU852021 KSN852002:KSQ852021 LCJ852002:LCM852021 LMF852002:LMI852021 LWB852002:LWE852021 MFX852002:MGA852021 MPT852002:MPW852021 MZP852002:MZS852021 NJL852002:NJO852021 NTH852002:NTK852021 ODD852002:ODG852021 OMZ852002:ONC852021 OWV852002:OWY852021 PGR852002:PGU852021 PQN852002:PQQ852021 QAJ852002:QAM852021 QKF852002:QKI852021 QUB852002:QUE852021 RDX852002:REA852021 RNT852002:RNW852021 RXP852002:RXS852021 SHL852002:SHO852021 SRH852002:SRK852021 TBD852002:TBG852021 TKZ852002:TLC852021 TUV852002:TUY852021 UER852002:UEU852021 UON852002:UOQ852021 UYJ852002:UYM852021 VIF852002:VII852021 VSB852002:VSE852021 WBX852002:WCA852021 WLT852002:WLW852021 WVP852002:WVS852021 H917538:K917557 JD917538:JG917557 SZ917538:TC917557 ACV917538:ACY917557 AMR917538:AMU917557 AWN917538:AWQ917557 BGJ917538:BGM917557 BQF917538:BQI917557 CAB917538:CAE917557 CJX917538:CKA917557 CTT917538:CTW917557 DDP917538:DDS917557 DNL917538:DNO917557 DXH917538:DXK917557 EHD917538:EHG917557 EQZ917538:ERC917557 FAV917538:FAY917557 FKR917538:FKU917557 FUN917538:FUQ917557 GEJ917538:GEM917557 GOF917538:GOI917557 GYB917538:GYE917557 HHX917538:HIA917557 HRT917538:HRW917557 IBP917538:IBS917557 ILL917538:ILO917557 IVH917538:IVK917557 JFD917538:JFG917557 JOZ917538:JPC917557 JYV917538:JYY917557 KIR917538:KIU917557 KSN917538:KSQ917557 LCJ917538:LCM917557 LMF917538:LMI917557 LWB917538:LWE917557 MFX917538:MGA917557 MPT917538:MPW917557 MZP917538:MZS917557 NJL917538:NJO917557 NTH917538:NTK917557 ODD917538:ODG917557 OMZ917538:ONC917557 OWV917538:OWY917557 PGR917538:PGU917557 PQN917538:PQQ917557 QAJ917538:QAM917557 QKF917538:QKI917557 QUB917538:QUE917557 RDX917538:REA917557 RNT917538:RNW917557 RXP917538:RXS917557 SHL917538:SHO917557 SRH917538:SRK917557 TBD917538:TBG917557 TKZ917538:TLC917557 TUV917538:TUY917557 UER917538:UEU917557 UON917538:UOQ917557 UYJ917538:UYM917557 VIF917538:VII917557 VSB917538:VSE917557 WBX917538:WCA917557 WLT917538:WLW917557 WVP917538:WVS917557 H983074:K983093 JD983074:JG983093 SZ983074:TC983093 ACV983074:ACY983093 AMR983074:AMU983093 AWN983074:AWQ983093 BGJ983074:BGM983093 BQF983074:BQI983093 CAB983074:CAE983093 CJX983074:CKA983093 CTT983074:CTW983093 DDP983074:DDS983093 DNL983074:DNO983093 DXH983074:DXK983093 EHD983074:EHG983093 EQZ983074:ERC983093 FAV983074:FAY983093 FKR983074:FKU983093 FUN983074:FUQ983093 GEJ983074:GEM983093 GOF983074:GOI983093 GYB983074:GYE983093 HHX983074:HIA983093 HRT983074:HRW983093 IBP983074:IBS983093 ILL983074:ILO983093 IVH983074:IVK983093 JFD983074:JFG983093 JOZ983074:JPC983093 JYV983074:JYY983093 KIR983074:KIU983093 KSN983074:KSQ983093 LCJ983074:LCM983093 LMF983074:LMI983093 LWB983074:LWE983093 MFX983074:MGA983093 MPT983074:MPW983093 MZP983074:MZS983093 NJL983074:NJO983093 NTH983074:NTK983093 ODD983074:ODG983093 OMZ983074:ONC983093 OWV983074:OWY983093 PGR983074:PGU983093 PQN983074:PQQ983093 QAJ983074:QAM983093 QKF983074:QKI983093 QUB983074:QUE983093 RDX983074:REA983093 RNT983074:RNW983093 RXP983074:RXS983093 SHL983074:SHO983093 SRH983074:SRK983093 TBD983074:TBG983093 TKZ983074:TLC983093 TUV983074:TUY983093 UER983074:UEU983093 UON983074:UOQ983093 UYJ983074:UYM983093 VIF983074:VII983093 VSB983074:VSE983093 WBX983074:WCA983093 WLT983074:WLW983093 WVP983074:WVS983093 G60:L61 JC60:JH61 SY60:TD61 ACU60:ACZ61 AMQ60:AMV61 AWM60:AWR61 BGI60:BGN61 BQE60:BQJ61 CAA60:CAF61 CJW60:CKB61 CTS60:CTX61 DDO60:DDT61 DNK60:DNP61 DXG60:DXL61 EHC60:EHH61 EQY60:ERD61 FAU60:FAZ61 FKQ60:FKV61 FUM60:FUR61 GEI60:GEN61 GOE60:GOJ61 GYA60:GYF61 HHW60:HIB61 HRS60:HRX61 IBO60:IBT61 ILK60:ILP61 IVG60:IVL61 JFC60:JFH61 JOY60:JPD61 JYU60:JYZ61 KIQ60:KIV61 KSM60:KSR61 LCI60:LCN61 LME60:LMJ61 LWA60:LWF61 MFW60:MGB61 MPS60:MPX61 MZO60:MZT61 NJK60:NJP61 NTG60:NTL61 ODC60:ODH61 OMY60:OND61 OWU60:OWZ61 PGQ60:PGV61 PQM60:PQR61 QAI60:QAN61 QKE60:QKJ61 QUA60:QUF61 RDW60:REB61 RNS60:RNX61 RXO60:RXT61 SHK60:SHP61 SRG60:SRL61 TBC60:TBH61 TKY60:TLD61 TUU60:TUZ61 UEQ60:UEV61 UOM60:UOR61 UYI60:UYN61 VIE60:VIJ61 VSA60:VSF61 WBW60:WCB61 WLS60:WLX61 WVO60:WVT61 G65596:L65597 JC65596:JH65597 SY65596:TD65597 ACU65596:ACZ65597 AMQ65596:AMV65597 AWM65596:AWR65597 BGI65596:BGN65597 BQE65596:BQJ65597 CAA65596:CAF65597 CJW65596:CKB65597 CTS65596:CTX65597 DDO65596:DDT65597 DNK65596:DNP65597 DXG65596:DXL65597 EHC65596:EHH65597 EQY65596:ERD65597 FAU65596:FAZ65597 FKQ65596:FKV65597 FUM65596:FUR65597 GEI65596:GEN65597 GOE65596:GOJ65597 GYA65596:GYF65597 HHW65596:HIB65597 HRS65596:HRX65597 IBO65596:IBT65597 ILK65596:ILP65597 IVG65596:IVL65597 JFC65596:JFH65597 JOY65596:JPD65597 JYU65596:JYZ65597 KIQ65596:KIV65597 KSM65596:KSR65597 LCI65596:LCN65597 LME65596:LMJ65597 LWA65596:LWF65597 MFW65596:MGB65597 MPS65596:MPX65597 MZO65596:MZT65597 NJK65596:NJP65597 NTG65596:NTL65597 ODC65596:ODH65597 OMY65596:OND65597 OWU65596:OWZ65597 PGQ65596:PGV65597 PQM65596:PQR65597 QAI65596:QAN65597 QKE65596:QKJ65597 QUA65596:QUF65597 RDW65596:REB65597 RNS65596:RNX65597 RXO65596:RXT65597 SHK65596:SHP65597 SRG65596:SRL65597 TBC65596:TBH65597 TKY65596:TLD65597 TUU65596:TUZ65597 UEQ65596:UEV65597 UOM65596:UOR65597 UYI65596:UYN65597 VIE65596:VIJ65597 VSA65596:VSF65597 WBW65596:WCB65597 WLS65596:WLX65597 WVO65596:WVT65597 G131132:L131133 JC131132:JH131133 SY131132:TD131133 ACU131132:ACZ131133 AMQ131132:AMV131133 AWM131132:AWR131133 BGI131132:BGN131133 BQE131132:BQJ131133 CAA131132:CAF131133 CJW131132:CKB131133 CTS131132:CTX131133 DDO131132:DDT131133 DNK131132:DNP131133 DXG131132:DXL131133 EHC131132:EHH131133 EQY131132:ERD131133 FAU131132:FAZ131133 FKQ131132:FKV131133 FUM131132:FUR131133 GEI131132:GEN131133 GOE131132:GOJ131133 GYA131132:GYF131133 HHW131132:HIB131133 HRS131132:HRX131133 IBO131132:IBT131133 ILK131132:ILP131133 IVG131132:IVL131133 JFC131132:JFH131133 JOY131132:JPD131133 JYU131132:JYZ131133 KIQ131132:KIV131133 KSM131132:KSR131133 LCI131132:LCN131133 LME131132:LMJ131133 LWA131132:LWF131133 MFW131132:MGB131133 MPS131132:MPX131133 MZO131132:MZT131133 NJK131132:NJP131133 NTG131132:NTL131133 ODC131132:ODH131133 OMY131132:OND131133 OWU131132:OWZ131133 PGQ131132:PGV131133 PQM131132:PQR131133 QAI131132:QAN131133 QKE131132:QKJ131133 QUA131132:QUF131133 RDW131132:REB131133 RNS131132:RNX131133 RXO131132:RXT131133 SHK131132:SHP131133 SRG131132:SRL131133 TBC131132:TBH131133 TKY131132:TLD131133 TUU131132:TUZ131133 UEQ131132:UEV131133 UOM131132:UOR131133 UYI131132:UYN131133 VIE131132:VIJ131133 VSA131132:VSF131133 WBW131132:WCB131133 WLS131132:WLX131133 WVO131132:WVT131133 G196668:L196669 JC196668:JH196669 SY196668:TD196669 ACU196668:ACZ196669 AMQ196668:AMV196669 AWM196668:AWR196669 BGI196668:BGN196669 BQE196668:BQJ196669 CAA196668:CAF196669 CJW196668:CKB196669 CTS196668:CTX196669 DDO196668:DDT196669 DNK196668:DNP196669 DXG196668:DXL196669 EHC196668:EHH196669 EQY196668:ERD196669 FAU196668:FAZ196669 FKQ196668:FKV196669 FUM196668:FUR196669 GEI196668:GEN196669 GOE196668:GOJ196669 GYA196668:GYF196669 HHW196668:HIB196669 HRS196668:HRX196669 IBO196668:IBT196669 ILK196668:ILP196669 IVG196668:IVL196669 JFC196668:JFH196669 JOY196668:JPD196669 JYU196668:JYZ196669 KIQ196668:KIV196669 KSM196668:KSR196669 LCI196668:LCN196669 LME196668:LMJ196669 LWA196668:LWF196669 MFW196668:MGB196669 MPS196668:MPX196669 MZO196668:MZT196669 NJK196668:NJP196669 NTG196668:NTL196669 ODC196668:ODH196669 OMY196668:OND196669 OWU196668:OWZ196669 PGQ196668:PGV196669 PQM196668:PQR196669 QAI196668:QAN196669 QKE196668:QKJ196669 QUA196668:QUF196669 RDW196668:REB196669 RNS196668:RNX196669 RXO196668:RXT196669 SHK196668:SHP196669 SRG196668:SRL196669 TBC196668:TBH196669 TKY196668:TLD196669 TUU196668:TUZ196669 UEQ196668:UEV196669 UOM196668:UOR196669 UYI196668:UYN196669 VIE196668:VIJ196669 VSA196668:VSF196669 WBW196668:WCB196669 WLS196668:WLX196669 WVO196668:WVT196669 G262204:L262205 JC262204:JH262205 SY262204:TD262205 ACU262204:ACZ262205 AMQ262204:AMV262205 AWM262204:AWR262205 BGI262204:BGN262205 BQE262204:BQJ262205 CAA262204:CAF262205 CJW262204:CKB262205 CTS262204:CTX262205 DDO262204:DDT262205 DNK262204:DNP262205 DXG262204:DXL262205 EHC262204:EHH262205 EQY262204:ERD262205 FAU262204:FAZ262205 FKQ262204:FKV262205 FUM262204:FUR262205 GEI262204:GEN262205 GOE262204:GOJ262205 GYA262204:GYF262205 HHW262204:HIB262205 HRS262204:HRX262205 IBO262204:IBT262205 ILK262204:ILP262205 IVG262204:IVL262205 JFC262204:JFH262205 JOY262204:JPD262205 JYU262204:JYZ262205 KIQ262204:KIV262205 KSM262204:KSR262205 LCI262204:LCN262205 LME262204:LMJ262205 LWA262204:LWF262205 MFW262204:MGB262205 MPS262204:MPX262205 MZO262204:MZT262205 NJK262204:NJP262205 NTG262204:NTL262205 ODC262204:ODH262205 OMY262204:OND262205 OWU262204:OWZ262205 PGQ262204:PGV262205 PQM262204:PQR262205 QAI262204:QAN262205 QKE262204:QKJ262205 QUA262204:QUF262205 RDW262204:REB262205 RNS262204:RNX262205 RXO262204:RXT262205 SHK262204:SHP262205 SRG262204:SRL262205 TBC262204:TBH262205 TKY262204:TLD262205 TUU262204:TUZ262205 UEQ262204:UEV262205 UOM262204:UOR262205 UYI262204:UYN262205 VIE262204:VIJ262205 VSA262204:VSF262205 WBW262204:WCB262205 WLS262204:WLX262205 WVO262204:WVT262205 G327740:L327741 JC327740:JH327741 SY327740:TD327741 ACU327740:ACZ327741 AMQ327740:AMV327741 AWM327740:AWR327741 BGI327740:BGN327741 BQE327740:BQJ327741 CAA327740:CAF327741 CJW327740:CKB327741 CTS327740:CTX327741 DDO327740:DDT327741 DNK327740:DNP327741 DXG327740:DXL327741 EHC327740:EHH327741 EQY327740:ERD327741 FAU327740:FAZ327741 FKQ327740:FKV327741 FUM327740:FUR327741 GEI327740:GEN327741 GOE327740:GOJ327741 GYA327740:GYF327741 HHW327740:HIB327741 HRS327740:HRX327741 IBO327740:IBT327741 ILK327740:ILP327741 IVG327740:IVL327741 JFC327740:JFH327741 JOY327740:JPD327741 JYU327740:JYZ327741 KIQ327740:KIV327741 KSM327740:KSR327741 LCI327740:LCN327741 LME327740:LMJ327741 LWA327740:LWF327741 MFW327740:MGB327741 MPS327740:MPX327741 MZO327740:MZT327741 NJK327740:NJP327741 NTG327740:NTL327741 ODC327740:ODH327741 OMY327740:OND327741 OWU327740:OWZ327741 PGQ327740:PGV327741 PQM327740:PQR327741 QAI327740:QAN327741 QKE327740:QKJ327741 QUA327740:QUF327741 RDW327740:REB327741 RNS327740:RNX327741 RXO327740:RXT327741 SHK327740:SHP327741 SRG327740:SRL327741 TBC327740:TBH327741 TKY327740:TLD327741 TUU327740:TUZ327741 UEQ327740:UEV327741 UOM327740:UOR327741 UYI327740:UYN327741 VIE327740:VIJ327741 VSA327740:VSF327741 WBW327740:WCB327741 WLS327740:WLX327741 WVO327740:WVT327741 G393276:L393277 JC393276:JH393277 SY393276:TD393277 ACU393276:ACZ393277 AMQ393276:AMV393277 AWM393276:AWR393277 BGI393276:BGN393277 BQE393276:BQJ393277 CAA393276:CAF393277 CJW393276:CKB393277 CTS393276:CTX393277 DDO393276:DDT393277 DNK393276:DNP393277 DXG393276:DXL393277 EHC393276:EHH393277 EQY393276:ERD393277 FAU393276:FAZ393277 FKQ393276:FKV393277 FUM393276:FUR393277 GEI393276:GEN393277 GOE393276:GOJ393277 GYA393276:GYF393277 HHW393276:HIB393277 HRS393276:HRX393277 IBO393276:IBT393277 ILK393276:ILP393277 IVG393276:IVL393277 JFC393276:JFH393277 JOY393276:JPD393277 JYU393276:JYZ393277 KIQ393276:KIV393277 KSM393276:KSR393277 LCI393276:LCN393277 LME393276:LMJ393277 LWA393276:LWF393277 MFW393276:MGB393277 MPS393276:MPX393277 MZO393276:MZT393277 NJK393276:NJP393277 NTG393276:NTL393277 ODC393276:ODH393277 OMY393276:OND393277 OWU393276:OWZ393277 PGQ393276:PGV393277 PQM393276:PQR393277 QAI393276:QAN393277 QKE393276:QKJ393277 QUA393276:QUF393277 RDW393276:REB393277 RNS393276:RNX393277 RXO393276:RXT393277 SHK393276:SHP393277 SRG393276:SRL393277 TBC393276:TBH393277 TKY393276:TLD393277 TUU393276:TUZ393277 UEQ393276:UEV393277 UOM393276:UOR393277 UYI393276:UYN393277 VIE393276:VIJ393277 VSA393276:VSF393277 WBW393276:WCB393277 WLS393276:WLX393277 WVO393276:WVT393277 G458812:L458813 JC458812:JH458813 SY458812:TD458813 ACU458812:ACZ458813 AMQ458812:AMV458813 AWM458812:AWR458813 BGI458812:BGN458813 BQE458812:BQJ458813 CAA458812:CAF458813 CJW458812:CKB458813 CTS458812:CTX458813 DDO458812:DDT458813 DNK458812:DNP458813 DXG458812:DXL458813 EHC458812:EHH458813 EQY458812:ERD458813 FAU458812:FAZ458813 FKQ458812:FKV458813 FUM458812:FUR458813 GEI458812:GEN458813 GOE458812:GOJ458813 GYA458812:GYF458813 HHW458812:HIB458813 HRS458812:HRX458813 IBO458812:IBT458813 ILK458812:ILP458813 IVG458812:IVL458813 JFC458812:JFH458813 JOY458812:JPD458813 JYU458812:JYZ458813 KIQ458812:KIV458813 KSM458812:KSR458813 LCI458812:LCN458813 LME458812:LMJ458813 LWA458812:LWF458813 MFW458812:MGB458813 MPS458812:MPX458813 MZO458812:MZT458813 NJK458812:NJP458813 NTG458812:NTL458813 ODC458812:ODH458813 OMY458812:OND458813 OWU458812:OWZ458813 PGQ458812:PGV458813 PQM458812:PQR458813 QAI458812:QAN458813 QKE458812:QKJ458813 QUA458812:QUF458813 RDW458812:REB458813 RNS458812:RNX458813 RXO458812:RXT458813 SHK458812:SHP458813 SRG458812:SRL458813 TBC458812:TBH458813 TKY458812:TLD458813 TUU458812:TUZ458813 UEQ458812:UEV458813 UOM458812:UOR458813 UYI458812:UYN458813 VIE458812:VIJ458813 VSA458812:VSF458813 WBW458812:WCB458813 WLS458812:WLX458813 WVO458812:WVT458813 G524348:L524349 JC524348:JH524349 SY524348:TD524349 ACU524348:ACZ524349 AMQ524348:AMV524349 AWM524348:AWR524349 BGI524348:BGN524349 BQE524348:BQJ524349 CAA524348:CAF524349 CJW524348:CKB524349 CTS524348:CTX524349 DDO524348:DDT524349 DNK524348:DNP524349 DXG524348:DXL524349 EHC524348:EHH524349 EQY524348:ERD524349 FAU524348:FAZ524349 FKQ524348:FKV524349 FUM524348:FUR524349 GEI524348:GEN524349 GOE524348:GOJ524349 GYA524348:GYF524349 HHW524348:HIB524349 HRS524348:HRX524349 IBO524348:IBT524349 ILK524348:ILP524349 IVG524348:IVL524349 JFC524348:JFH524349 JOY524348:JPD524349 JYU524348:JYZ524349 KIQ524348:KIV524349 KSM524348:KSR524349 LCI524348:LCN524349 LME524348:LMJ524349 LWA524348:LWF524349 MFW524348:MGB524349 MPS524348:MPX524349 MZO524348:MZT524349 NJK524348:NJP524349 NTG524348:NTL524349 ODC524348:ODH524349 OMY524348:OND524349 OWU524348:OWZ524349 PGQ524348:PGV524349 PQM524348:PQR524349 QAI524348:QAN524349 QKE524348:QKJ524349 QUA524348:QUF524349 RDW524348:REB524349 RNS524348:RNX524349 RXO524348:RXT524349 SHK524348:SHP524349 SRG524348:SRL524349 TBC524348:TBH524349 TKY524348:TLD524349 TUU524348:TUZ524349 UEQ524348:UEV524349 UOM524348:UOR524349 UYI524348:UYN524349 VIE524348:VIJ524349 VSA524348:VSF524349 WBW524348:WCB524349 WLS524348:WLX524349 WVO524348:WVT524349 G589884:L589885 JC589884:JH589885 SY589884:TD589885 ACU589884:ACZ589885 AMQ589884:AMV589885 AWM589884:AWR589885 BGI589884:BGN589885 BQE589884:BQJ589885 CAA589884:CAF589885 CJW589884:CKB589885 CTS589884:CTX589885 DDO589884:DDT589885 DNK589884:DNP589885 DXG589884:DXL589885 EHC589884:EHH589885 EQY589884:ERD589885 FAU589884:FAZ589885 FKQ589884:FKV589885 FUM589884:FUR589885 GEI589884:GEN589885 GOE589884:GOJ589885 GYA589884:GYF589885 HHW589884:HIB589885 HRS589884:HRX589885 IBO589884:IBT589885 ILK589884:ILP589885 IVG589884:IVL589885 JFC589884:JFH589885 JOY589884:JPD589885 JYU589884:JYZ589885 KIQ589884:KIV589885 KSM589884:KSR589885 LCI589884:LCN589885 LME589884:LMJ589885 LWA589884:LWF589885 MFW589884:MGB589885 MPS589884:MPX589885 MZO589884:MZT589885 NJK589884:NJP589885 NTG589884:NTL589885 ODC589884:ODH589885 OMY589884:OND589885 OWU589884:OWZ589885 PGQ589884:PGV589885 PQM589884:PQR589885 QAI589884:QAN589885 QKE589884:QKJ589885 QUA589884:QUF589885 RDW589884:REB589885 RNS589884:RNX589885 RXO589884:RXT589885 SHK589884:SHP589885 SRG589884:SRL589885 TBC589884:TBH589885 TKY589884:TLD589885 TUU589884:TUZ589885 UEQ589884:UEV589885 UOM589884:UOR589885 UYI589884:UYN589885 VIE589884:VIJ589885 VSA589884:VSF589885 WBW589884:WCB589885 WLS589884:WLX589885 WVO589884:WVT589885 G655420:L655421 JC655420:JH655421 SY655420:TD655421 ACU655420:ACZ655421 AMQ655420:AMV655421 AWM655420:AWR655421 BGI655420:BGN655421 BQE655420:BQJ655421 CAA655420:CAF655421 CJW655420:CKB655421 CTS655420:CTX655421 DDO655420:DDT655421 DNK655420:DNP655421 DXG655420:DXL655421 EHC655420:EHH655421 EQY655420:ERD655421 FAU655420:FAZ655421 FKQ655420:FKV655421 FUM655420:FUR655421 GEI655420:GEN655421 GOE655420:GOJ655421 GYA655420:GYF655421 HHW655420:HIB655421 HRS655420:HRX655421 IBO655420:IBT655421 ILK655420:ILP655421 IVG655420:IVL655421 JFC655420:JFH655421 JOY655420:JPD655421 JYU655420:JYZ655421 KIQ655420:KIV655421 KSM655420:KSR655421 LCI655420:LCN655421 LME655420:LMJ655421 LWA655420:LWF655421 MFW655420:MGB655421 MPS655420:MPX655421 MZO655420:MZT655421 NJK655420:NJP655421 NTG655420:NTL655421 ODC655420:ODH655421 OMY655420:OND655421 OWU655420:OWZ655421 PGQ655420:PGV655421 PQM655420:PQR655421 QAI655420:QAN655421 QKE655420:QKJ655421 QUA655420:QUF655421 RDW655420:REB655421 RNS655420:RNX655421 RXO655420:RXT655421 SHK655420:SHP655421 SRG655420:SRL655421 TBC655420:TBH655421 TKY655420:TLD655421 TUU655420:TUZ655421 UEQ655420:UEV655421 UOM655420:UOR655421 UYI655420:UYN655421 VIE655420:VIJ655421 VSA655420:VSF655421 WBW655420:WCB655421 WLS655420:WLX655421 WVO655420:WVT655421 G720956:L720957 JC720956:JH720957 SY720956:TD720957 ACU720956:ACZ720957 AMQ720956:AMV720957 AWM720956:AWR720957 BGI720956:BGN720957 BQE720956:BQJ720957 CAA720956:CAF720957 CJW720956:CKB720957 CTS720956:CTX720957 DDO720956:DDT720957 DNK720956:DNP720957 DXG720956:DXL720957 EHC720956:EHH720957 EQY720956:ERD720957 FAU720956:FAZ720957 FKQ720956:FKV720957 FUM720956:FUR720957 GEI720956:GEN720957 GOE720956:GOJ720957 GYA720956:GYF720957 HHW720956:HIB720957 HRS720956:HRX720957 IBO720956:IBT720957 ILK720956:ILP720957 IVG720956:IVL720957 JFC720956:JFH720957 JOY720956:JPD720957 JYU720956:JYZ720957 KIQ720956:KIV720957 KSM720956:KSR720957 LCI720956:LCN720957 LME720956:LMJ720957 LWA720956:LWF720957 MFW720956:MGB720957 MPS720956:MPX720957 MZO720956:MZT720957 NJK720956:NJP720957 NTG720956:NTL720957 ODC720956:ODH720957 OMY720956:OND720957 OWU720956:OWZ720957 PGQ720956:PGV720957 PQM720956:PQR720957 QAI720956:QAN720957 QKE720956:QKJ720957 QUA720956:QUF720957 RDW720956:REB720957 RNS720956:RNX720957 RXO720956:RXT720957 SHK720956:SHP720957 SRG720956:SRL720957 TBC720956:TBH720957 TKY720956:TLD720957 TUU720956:TUZ720957 UEQ720956:UEV720957 UOM720956:UOR720957 UYI720956:UYN720957 VIE720956:VIJ720957 VSA720956:VSF720957 WBW720956:WCB720957 WLS720956:WLX720957 WVO720956:WVT720957 G786492:L786493 JC786492:JH786493 SY786492:TD786493 ACU786492:ACZ786493 AMQ786492:AMV786493 AWM786492:AWR786493 BGI786492:BGN786493 BQE786492:BQJ786493 CAA786492:CAF786493 CJW786492:CKB786493 CTS786492:CTX786493 DDO786492:DDT786493 DNK786492:DNP786493 DXG786492:DXL786493 EHC786492:EHH786493 EQY786492:ERD786493 FAU786492:FAZ786493 FKQ786492:FKV786493 FUM786492:FUR786493 GEI786492:GEN786493 GOE786492:GOJ786493 GYA786492:GYF786493 HHW786492:HIB786493 HRS786492:HRX786493 IBO786492:IBT786493 ILK786492:ILP786493 IVG786492:IVL786493 JFC786492:JFH786493 JOY786492:JPD786493 JYU786492:JYZ786493 KIQ786492:KIV786493 KSM786492:KSR786493 LCI786492:LCN786493 LME786492:LMJ786493 LWA786492:LWF786493 MFW786492:MGB786493 MPS786492:MPX786493 MZO786492:MZT786493 NJK786492:NJP786493 NTG786492:NTL786493 ODC786492:ODH786493 OMY786492:OND786493 OWU786492:OWZ786493 PGQ786492:PGV786493 PQM786492:PQR786493 QAI786492:QAN786493 QKE786492:QKJ786493 QUA786492:QUF786493 RDW786492:REB786493 RNS786492:RNX786493 RXO786492:RXT786493 SHK786492:SHP786493 SRG786492:SRL786493 TBC786492:TBH786493 TKY786492:TLD786493 TUU786492:TUZ786493 UEQ786492:UEV786493 UOM786492:UOR786493 UYI786492:UYN786493 VIE786492:VIJ786493 VSA786492:VSF786493 WBW786492:WCB786493 WLS786492:WLX786493 WVO786492:WVT786493 G852028:L852029 JC852028:JH852029 SY852028:TD852029 ACU852028:ACZ852029 AMQ852028:AMV852029 AWM852028:AWR852029 BGI852028:BGN852029 BQE852028:BQJ852029 CAA852028:CAF852029 CJW852028:CKB852029 CTS852028:CTX852029 DDO852028:DDT852029 DNK852028:DNP852029 DXG852028:DXL852029 EHC852028:EHH852029 EQY852028:ERD852029 FAU852028:FAZ852029 FKQ852028:FKV852029 FUM852028:FUR852029 GEI852028:GEN852029 GOE852028:GOJ852029 GYA852028:GYF852029 HHW852028:HIB852029 HRS852028:HRX852029 IBO852028:IBT852029 ILK852028:ILP852029 IVG852028:IVL852029 JFC852028:JFH852029 JOY852028:JPD852029 JYU852028:JYZ852029 KIQ852028:KIV852029 KSM852028:KSR852029 LCI852028:LCN852029 LME852028:LMJ852029 LWA852028:LWF852029 MFW852028:MGB852029 MPS852028:MPX852029 MZO852028:MZT852029 NJK852028:NJP852029 NTG852028:NTL852029 ODC852028:ODH852029 OMY852028:OND852029 OWU852028:OWZ852029 PGQ852028:PGV852029 PQM852028:PQR852029 QAI852028:QAN852029 QKE852028:QKJ852029 QUA852028:QUF852029 RDW852028:REB852029 RNS852028:RNX852029 RXO852028:RXT852029 SHK852028:SHP852029 SRG852028:SRL852029 TBC852028:TBH852029 TKY852028:TLD852029 TUU852028:TUZ852029 UEQ852028:UEV852029 UOM852028:UOR852029 UYI852028:UYN852029 VIE852028:VIJ852029 VSA852028:VSF852029 WBW852028:WCB852029 WLS852028:WLX852029 WVO852028:WVT852029 G917564:L917565 JC917564:JH917565 SY917564:TD917565 ACU917564:ACZ917565 AMQ917564:AMV917565 AWM917564:AWR917565 BGI917564:BGN917565 BQE917564:BQJ917565 CAA917564:CAF917565 CJW917564:CKB917565 CTS917564:CTX917565 DDO917564:DDT917565 DNK917564:DNP917565 DXG917564:DXL917565 EHC917564:EHH917565 EQY917564:ERD917565 FAU917564:FAZ917565 FKQ917564:FKV917565 FUM917564:FUR917565 GEI917564:GEN917565 GOE917564:GOJ917565 GYA917564:GYF917565 HHW917564:HIB917565 HRS917564:HRX917565 IBO917564:IBT917565 ILK917564:ILP917565 IVG917564:IVL917565 JFC917564:JFH917565 JOY917564:JPD917565 JYU917564:JYZ917565 KIQ917564:KIV917565 KSM917564:KSR917565 LCI917564:LCN917565 LME917564:LMJ917565 LWA917564:LWF917565 MFW917564:MGB917565 MPS917564:MPX917565 MZO917564:MZT917565 NJK917564:NJP917565 NTG917564:NTL917565 ODC917564:ODH917565 OMY917564:OND917565 OWU917564:OWZ917565 PGQ917564:PGV917565 PQM917564:PQR917565 QAI917564:QAN917565 QKE917564:QKJ917565 QUA917564:QUF917565 RDW917564:REB917565 RNS917564:RNX917565 RXO917564:RXT917565 SHK917564:SHP917565 SRG917564:SRL917565 TBC917564:TBH917565 TKY917564:TLD917565 TUU917564:TUZ917565 UEQ917564:UEV917565 UOM917564:UOR917565 UYI917564:UYN917565 VIE917564:VIJ917565 VSA917564:VSF917565 WBW917564:WCB917565 WLS917564:WLX917565 WVO917564:WVT917565 G983100:L983101 JC983100:JH983101 SY983100:TD983101 ACU983100:ACZ983101 AMQ983100:AMV983101 AWM983100:AWR983101 BGI983100:BGN983101 BQE983100:BQJ983101 CAA983100:CAF983101 CJW983100:CKB983101 CTS983100:CTX983101 DDO983100:DDT983101 DNK983100:DNP983101 DXG983100:DXL983101 EHC983100:EHH983101 EQY983100:ERD983101 FAU983100:FAZ983101 FKQ983100:FKV983101 FUM983100:FUR983101 GEI983100:GEN983101 GOE983100:GOJ983101 GYA983100:GYF983101 HHW983100:HIB983101 HRS983100:HRX983101 IBO983100:IBT983101 ILK983100:ILP983101 IVG983100:IVL983101 JFC983100:JFH983101 JOY983100:JPD983101 JYU983100:JYZ983101 KIQ983100:KIV983101 KSM983100:KSR983101 LCI983100:LCN983101 LME983100:LMJ983101 LWA983100:LWF983101 MFW983100:MGB983101 MPS983100:MPX983101 MZO983100:MZT983101 NJK983100:NJP983101 NTG983100:NTL983101 ODC983100:ODH983101 OMY983100:OND983101 OWU983100:OWZ983101 PGQ983100:PGV983101 PQM983100:PQR983101 QAI983100:QAN983101 QKE983100:QKJ983101 QUA983100:QUF983101 RDW983100:REB983101 RNS983100:RNX983101 RXO983100:RXT983101 SHK983100:SHP983101 SRG983100:SRL983101 TBC983100:TBH983101 TKY983100:TLD983101 TUU983100:TUZ983101 UEQ983100:UEV983101 UOM983100:UOR983101 UYI983100:UYN983101 VIE983100:VIJ983101 VSA983100:VSF983101 WBW983100:WCB983101 WLS983100:WLX983101 WVO983100:WVT983101 R18:U18 JN18:JQ18 TJ18:TM18 ADF18:ADI18 ANB18:ANE18 AWX18:AXA18 BGT18:BGW18 BQP18:BQS18 CAL18:CAO18 CKH18:CKK18 CUD18:CUG18 DDZ18:DEC18 DNV18:DNY18 DXR18:DXU18 EHN18:EHQ18 ERJ18:ERM18 FBF18:FBI18 FLB18:FLE18 FUX18:FVA18 GET18:GEW18 GOP18:GOS18 GYL18:GYO18 HIH18:HIK18 HSD18:HSG18 IBZ18:ICC18 ILV18:ILY18 IVR18:IVU18 JFN18:JFQ18 JPJ18:JPM18 JZF18:JZI18 KJB18:KJE18 KSX18:KTA18 LCT18:LCW18 LMP18:LMS18 LWL18:LWO18 MGH18:MGK18 MQD18:MQG18 MZZ18:NAC18 NJV18:NJY18 NTR18:NTU18 ODN18:ODQ18 ONJ18:ONM18 OXF18:OXI18 PHB18:PHE18 PQX18:PRA18 QAT18:QAW18 QKP18:QKS18 QUL18:QUO18 REH18:REK18 ROD18:ROG18 RXZ18:RYC18 SHV18:SHY18 SRR18:SRU18 TBN18:TBQ18 TLJ18:TLM18 TVF18:TVI18 UFB18:UFE18 UOX18:UPA18 UYT18:UYW18 VIP18:VIS18 VSL18:VSO18 WCH18:WCK18 WMD18:WMG18 WVZ18:WWC18 R65554:U65554 JN65554:JQ65554 TJ65554:TM65554 ADF65554:ADI65554 ANB65554:ANE65554 AWX65554:AXA65554 BGT65554:BGW65554 BQP65554:BQS65554 CAL65554:CAO65554 CKH65554:CKK65554 CUD65554:CUG65554 DDZ65554:DEC65554 DNV65554:DNY65554 DXR65554:DXU65554 EHN65554:EHQ65554 ERJ65554:ERM65554 FBF65554:FBI65554 FLB65554:FLE65554 FUX65554:FVA65554 GET65554:GEW65554 GOP65554:GOS65554 GYL65554:GYO65554 HIH65554:HIK65554 HSD65554:HSG65554 IBZ65554:ICC65554 ILV65554:ILY65554 IVR65554:IVU65554 JFN65554:JFQ65554 JPJ65554:JPM65554 JZF65554:JZI65554 KJB65554:KJE65554 KSX65554:KTA65554 LCT65554:LCW65554 LMP65554:LMS65554 LWL65554:LWO65554 MGH65554:MGK65554 MQD65554:MQG65554 MZZ65554:NAC65554 NJV65554:NJY65554 NTR65554:NTU65554 ODN65554:ODQ65554 ONJ65554:ONM65554 OXF65554:OXI65554 PHB65554:PHE65554 PQX65554:PRA65554 QAT65554:QAW65554 QKP65554:QKS65554 QUL65554:QUO65554 REH65554:REK65554 ROD65554:ROG65554 RXZ65554:RYC65554 SHV65554:SHY65554 SRR65554:SRU65554 TBN65554:TBQ65554 TLJ65554:TLM65554 TVF65554:TVI65554 UFB65554:UFE65554 UOX65554:UPA65554 UYT65554:UYW65554 VIP65554:VIS65554 VSL65554:VSO65554 WCH65554:WCK65554 WMD65554:WMG65554 WVZ65554:WWC65554 R131090:U131090 JN131090:JQ131090 TJ131090:TM131090 ADF131090:ADI131090 ANB131090:ANE131090 AWX131090:AXA131090 BGT131090:BGW131090 BQP131090:BQS131090 CAL131090:CAO131090 CKH131090:CKK131090 CUD131090:CUG131090 DDZ131090:DEC131090 DNV131090:DNY131090 DXR131090:DXU131090 EHN131090:EHQ131090 ERJ131090:ERM131090 FBF131090:FBI131090 FLB131090:FLE131090 FUX131090:FVA131090 GET131090:GEW131090 GOP131090:GOS131090 GYL131090:GYO131090 HIH131090:HIK131090 HSD131090:HSG131090 IBZ131090:ICC131090 ILV131090:ILY131090 IVR131090:IVU131090 JFN131090:JFQ131090 JPJ131090:JPM131090 JZF131090:JZI131090 KJB131090:KJE131090 KSX131090:KTA131090 LCT131090:LCW131090 LMP131090:LMS131090 LWL131090:LWO131090 MGH131090:MGK131090 MQD131090:MQG131090 MZZ131090:NAC131090 NJV131090:NJY131090 NTR131090:NTU131090 ODN131090:ODQ131090 ONJ131090:ONM131090 OXF131090:OXI131090 PHB131090:PHE131090 PQX131090:PRA131090 QAT131090:QAW131090 QKP131090:QKS131090 QUL131090:QUO131090 REH131090:REK131090 ROD131090:ROG131090 RXZ131090:RYC131090 SHV131090:SHY131090 SRR131090:SRU131090 TBN131090:TBQ131090 TLJ131090:TLM131090 TVF131090:TVI131090 UFB131090:UFE131090 UOX131090:UPA131090 UYT131090:UYW131090 VIP131090:VIS131090 VSL131090:VSO131090 WCH131090:WCK131090 WMD131090:WMG131090 WVZ131090:WWC131090 R196626:U196626 JN196626:JQ196626 TJ196626:TM196626 ADF196626:ADI196626 ANB196626:ANE196626 AWX196626:AXA196626 BGT196626:BGW196626 BQP196626:BQS196626 CAL196626:CAO196626 CKH196626:CKK196626 CUD196626:CUG196626 DDZ196626:DEC196626 DNV196626:DNY196626 DXR196626:DXU196626 EHN196626:EHQ196626 ERJ196626:ERM196626 FBF196626:FBI196626 FLB196626:FLE196626 FUX196626:FVA196626 GET196626:GEW196626 GOP196626:GOS196626 GYL196626:GYO196626 HIH196626:HIK196626 HSD196626:HSG196626 IBZ196626:ICC196626 ILV196626:ILY196626 IVR196626:IVU196626 JFN196626:JFQ196626 JPJ196626:JPM196626 JZF196626:JZI196626 KJB196626:KJE196626 KSX196626:KTA196626 LCT196626:LCW196626 LMP196626:LMS196626 LWL196626:LWO196626 MGH196626:MGK196626 MQD196626:MQG196626 MZZ196626:NAC196626 NJV196626:NJY196626 NTR196626:NTU196626 ODN196626:ODQ196626 ONJ196626:ONM196626 OXF196626:OXI196626 PHB196626:PHE196626 PQX196626:PRA196626 QAT196626:QAW196626 QKP196626:QKS196626 QUL196626:QUO196626 REH196626:REK196626 ROD196626:ROG196626 RXZ196626:RYC196626 SHV196626:SHY196626 SRR196626:SRU196626 TBN196626:TBQ196626 TLJ196626:TLM196626 TVF196626:TVI196626 UFB196626:UFE196626 UOX196626:UPA196626 UYT196626:UYW196626 VIP196626:VIS196626 VSL196626:VSO196626 WCH196626:WCK196626 WMD196626:WMG196626 WVZ196626:WWC196626 R262162:U262162 JN262162:JQ262162 TJ262162:TM262162 ADF262162:ADI262162 ANB262162:ANE262162 AWX262162:AXA262162 BGT262162:BGW262162 BQP262162:BQS262162 CAL262162:CAO262162 CKH262162:CKK262162 CUD262162:CUG262162 DDZ262162:DEC262162 DNV262162:DNY262162 DXR262162:DXU262162 EHN262162:EHQ262162 ERJ262162:ERM262162 FBF262162:FBI262162 FLB262162:FLE262162 FUX262162:FVA262162 GET262162:GEW262162 GOP262162:GOS262162 GYL262162:GYO262162 HIH262162:HIK262162 HSD262162:HSG262162 IBZ262162:ICC262162 ILV262162:ILY262162 IVR262162:IVU262162 JFN262162:JFQ262162 JPJ262162:JPM262162 JZF262162:JZI262162 KJB262162:KJE262162 KSX262162:KTA262162 LCT262162:LCW262162 LMP262162:LMS262162 LWL262162:LWO262162 MGH262162:MGK262162 MQD262162:MQG262162 MZZ262162:NAC262162 NJV262162:NJY262162 NTR262162:NTU262162 ODN262162:ODQ262162 ONJ262162:ONM262162 OXF262162:OXI262162 PHB262162:PHE262162 PQX262162:PRA262162 QAT262162:QAW262162 QKP262162:QKS262162 QUL262162:QUO262162 REH262162:REK262162 ROD262162:ROG262162 RXZ262162:RYC262162 SHV262162:SHY262162 SRR262162:SRU262162 TBN262162:TBQ262162 TLJ262162:TLM262162 TVF262162:TVI262162 UFB262162:UFE262162 UOX262162:UPA262162 UYT262162:UYW262162 VIP262162:VIS262162 VSL262162:VSO262162 WCH262162:WCK262162 WMD262162:WMG262162 WVZ262162:WWC262162 R327698:U327698 JN327698:JQ327698 TJ327698:TM327698 ADF327698:ADI327698 ANB327698:ANE327698 AWX327698:AXA327698 BGT327698:BGW327698 BQP327698:BQS327698 CAL327698:CAO327698 CKH327698:CKK327698 CUD327698:CUG327698 DDZ327698:DEC327698 DNV327698:DNY327698 DXR327698:DXU327698 EHN327698:EHQ327698 ERJ327698:ERM327698 FBF327698:FBI327698 FLB327698:FLE327698 FUX327698:FVA327698 GET327698:GEW327698 GOP327698:GOS327698 GYL327698:GYO327698 HIH327698:HIK327698 HSD327698:HSG327698 IBZ327698:ICC327698 ILV327698:ILY327698 IVR327698:IVU327698 JFN327698:JFQ327698 JPJ327698:JPM327698 JZF327698:JZI327698 KJB327698:KJE327698 KSX327698:KTA327698 LCT327698:LCW327698 LMP327698:LMS327698 LWL327698:LWO327698 MGH327698:MGK327698 MQD327698:MQG327698 MZZ327698:NAC327698 NJV327698:NJY327698 NTR327698:NTU327698 ODN327698:ODQ327698 ONJ327698:ONM327698 OXF327698:OXI327698 PHB327698:PHE327698 PQX327698:PRA327698 QAT327698:QAW327698 QKP327698:QKS327698 QUL327698:QUO327698 REH327698:REK327698 ROD327698:ROG327698 RXZ327698:RYC327698 SHV327698:SHY327698 SRR327698:SRU327698 TBN327698:TBQ327698 TLJ327698:TLM327698 TVF327698:TVI327698 UFB327698:UFE327698 UOX327698:UPA327698 UYT327698:UYW327698 VIP327698:VIS327698 VSL327698:VSO327698 WCH327698:WCK327698 WMD327698:WMG327698 WVZ327698:WWC327698 R393234:U393234 JN393234:JQ393234 TJ393234:TM393234 ADF393234:ADI393234 ANB393234:ANE393234 AWX393234:AXA393234 BGT393234:BGW393234 BQP393234:BQS393234 CAL393234:CAO393234 CKH393234:CKK393234 CUD393234:CUG393234 DDZ393234:DEC393234 DNV393234:DNY393234 DXR393234:DXU393234 EHN393234:EHQ393234 ERJ393234:ERM393234 FBF393234:FBI393234 FLB393234:FLE393234 FUX393234:FVA393234 GET393234:GEW393234 GOP393234:GOS393234 GYL393234:GYO393234 HIH393234:HIK393234 HSD393234:HSG393234 IBZ393234:ICC393234 ILV393234:ILY393234 IVR393234:IVU393234 JFN393234:JFQ393234 JPJ393234:JPM393234 JZF393234:JZI393234 KJB393234:KJE393234 KSX393234:KTA393234 LCT393234:LCW393234 LMP393234:LMS393234 LWL393234:LWO393234 MGH393234:MGK393234 MQD393234:MQG393234 MZZ393234:NAC393234 NJV393234:NJY393234 NTR393234:NTU393234 ODN393234:ODQ393234 ONJ393234:ONM393234 OXF393234:OXI393234 PHB393234:PHE393234 PQX393234:PRA393234 QAT393234:QAW393234 QKP393234:QKS393234 QUL393234:QUO393234 REH393234:REK393234 ROD393234:ROG393234 RXZ393234:RYC393234 SHV393234:SHY393234 SRR393234:SRU393234 TBN393234:TBQ393234 TLJ393234:TLM393234 TVF393234:TVI393234 UFB393234:UFE393234 UOX393234:UPA393234 UYT393234:UYW393234 VIP393234:VIS393234 VSL393234:VSO393234 WCH393234:WCK393234 WMD393234:WMG393234 WVZ393234:WWC393234 R458770:U458770 JN458770:JQ458770 TJ458770:TM458770 ADF458770:ADI458770 ANB458770:ANE458770 AWX458770:AXA458770 BGT458770:BGW458770 BQP458770:BQS458770 CAL458770:CAO458770 CKH458770:CKK458770 CUD458770:CUG458770 DDZ458770:DEC458770 DNV458770:DNY458770 DXR458770:DXU458770 EHN458770:EHQ458770 ERJ458770:ERM458770 FBF458770:FBI458770 FLB458770:FLE458770 FUX458770:FVA458770 GET458770:GEW458770 GOP458770:GOS458770 GYL458770:GYO458770 HIH458770:HIK458770 HSD458770:HSG458770 IBZ458770:ICC458770 ILV458770:ILY458770 IVR458770:IVU458770 JFN458770:JFQ458770 JPJ458770:JPM458770 JZF458770:JZI458770 KJB458770:KJE458770 KSX458770:KTA458770 LCT458770:LCW458770 LMP458770:LMS458770 LWL458770:LWO458770 MGH458770:MGK458770 MQD458770:MQG458770 MZZ458770:NAC458770 NJV458770:NJY458770 NTR458770:NTU458770 ODN458770:ODQ458770 ONJ458770:ONM458770 OXF458770:OXI458770 PHB458770:PHE458770 PQX458770:PRA458770 QAT458770:QAW458770 QKP458770:QKS458770 QUL458770:QUO458770 REH458770:REK458770 ROD458770:ROG458770 RXZ458770:RYC458770 SHV458770:SHY458770 SRR458770:SRU458770 TBN458770:TBQ458770 TLJ458770:TLM458770 TVF458770:TVI458770 UFB458770:UFE458770 UOX458770:UPA458770 UYT458770:UYW458770 VIP458770:VIS458770 VSL458770:VSO458770 WCH458770:WCK458770 WMD458770:WMG458770 WVZ458770:WWC458770 R524306:U524306 JN524306:JQ524306 TJ524306:TM524306 ADF524306:ADI524306 ANB524306:ANE524306 AWX524306:AXA524306 BGT524306:BGW524306 BQP524306:BQS524306 CAL524306:CAO524306 CKH524306:CKK524306 CUD524306:CUG524306 DDZ524306:DEC524306 DNV524306:DNY524306 DXR524306:DXU524306 EHN524306:EHQ524306 ERJ524306:ERM524306 FBF524306:FBI524306 FLB524306:FLE524306 FUX524306:FVA524306 GET524306:GEW524306 GOP524306:GOS524306 GYL524306:GYO524306 HIH524306:HIK524306 HSD524306:HSG524306 IBZ524306:ICC524306 ILV524306:ILY524306 IVR524306:IVU524306 JFN524306:JFQ524306 JPJ524306:JPM524306 JZF524306:JZI524306 KJB524306:KJE524306 KSX524306:KTA524306 LCT524306:LCW524306 LMP524306:LMS524306 LWL524306:LWO524306 MGH524306:MGK524306 MQD524306:MQG524306 MZZ524306:NAC524306 NJV524306:NJY524306 NTR524306:NTU524306 ODN524306:ODQ524306 ONJ524306:ONM524306 OXF524306:OXI524306 PHB524306:PHE524306 PQX524306:PRA524306 QAT524306:QAW524306 QKP524306:QKS524306 QUL524306:QUO524306 REH524306:REK524306 ROD524306:ROG524306 RXZ524306:RYC524306 SHV524306:SHY524306 SRR524306:SRU524306 TBN524306:TBQ524306 TLJ524306:TLM524306 TVF524306:TVI524306 UFB524306:UFE524306 UOX524306:UPA524306 UYT524306:UYW524306 VIP524306:VIS524306 VSL524306:VSO524306 WCH524306:WCK524306 WMD524306:WMG524306 WVZ524306:WWC524306 R589842:U589842 JN589842:JQ589842 TJ589842:TM589842 ADF589842:ADI589842 ANB589842:ANE589842 AWX589842:AXA589842 BGT589842:BGW589842 BQP589842:BQS589842 CAL589842:CAO589842 CKH589842:CKK589842 CUD589842:CUG589842 DDZ589842:DEC589842 DNV589842:DNY589842 DXR589842:DXU589842 EHN589842:EHQ589842 ERJ589842:ERM589842 FBF589842:FBI589842 FLB589842:FLE589842 FUX589842:FVA589842 GET589842:GEW589842 GOP589842:GOS589842 GYL589842:GYO589842 HIH589842:HIK589842 HSD589842:HSG589842 IBZ589842:ICC589842 ILV589842:ILY589842 IVR589842:IVU589842 JFN589842:JFQ589842 JPJ589842:JPM589842 JZF589842:JZI589842 KJB589842:KJE589842 KSX589842:KTA589842 LCT589842:LCW589842 LMP589842:LMS589842 LWL589842:LWO589842 MGH589842:MGK589842 MQD589842:MQG589842 MZZ589842:NAC589842 NJV589842:NJY589842 NTR589842:NTU589842 ODN589842:ODQ589842 ONJ589842:ONM589842 OXF589842:OXI589842 PHB589842:PHE589842 PQX589842:PRA589842 QAT589842:QAW589842 QKP589842:QKS589842 QUL589842:QUO589842 REH589842:REK589842 ROD589842:ROG589842 RXZ589842:RYC589842 SHV589842:SHY589842 SRR589842:SRU589842 TBN589842:TBQ589842 TLJ589842:TLM589842 TVF589842:TVI589842 UFB589842:UFE589842 UOX589842:UPA589842 UYT589842:UYW589842 VIP589842:VIS589842 VSL589842:VSO589842 WCH589842:WCK589842 WMD589842:WMG589842 WVZ589842:WWC589842 R655378:U655378 JN655378:JQ655378 TJ655378:TM655378 ADF655378:ADI655378 ANB655378:ANE655378 AWX655378:AXA655378 BGT655378:BGW655378 BQP655378:BQS655378 CAL655378:CAO655378 CKH655378:CKK655378 CUD655378:CUG655378 DDZ655378:DEC655378 DNV655378:DNY655378 DXR655378:DXU655378 EHN655378:EHQ655378 ERJ655378:ERM655378 FBF655378:FBI655378 FLB655378:FLE655378 FUX655378:FVA655378 GET655378:GEW655378 GOP655378:GOS655378 GYL655378:GYO655378 HIH655378:HIK655378 HSD655378:HSG655378 IBZ655378:ICC655378 ILV655378:ILY655378 IVR655378:IVU655378 JFN655378:JFQ655378 JPJ655378:JPM655378 JZF655378:JZI655378 KJB655378:KJE655378 KSX655378:KTA655378 LCT655378:LCW655378 LMP655378:LMS655378 LWL655378:LWO655378 MGH655378:MGK655378 MQD655378:MQG655378 MZZ655378:NAC655378 NJV655378:NJY655378 NTR655378:NTU655378 ODN655378:ODQ655378 ONJ655378:ONM655378 OXF655378:OXI655378 PHB655378:PHE655378 PQX655378:PRA655378 QAT655378:QAW655378 QKP655378:QKS655378 QUL655378:QUO655378 REH655378:REK655378 ROD655378:ROG655378 RXZ655378:RYC655378 SHV655378:SHY655378 SRR655378:SRU655378 TBN655378:TBQ655378 TLJ655378:TLM655378 TVF655378:TVI655378 UFB655378:UFE655378 UOX655378:UPA655378 UYT655378:UYW655378 VIP655378:VIS655378 VSL655378:VSO655378 WCH655378:WCK655378 WMD655378:WMG655378 WVZ655378:WWC655378 R720914:U720914 JN720914:JQ720914 TJ720914:TM720914 ADF720914:ADI720914 ANB720914:ANE720914 AWX720914:AXA720914 BGT720914:BGW720914 BQP720914:BQS720914 CAL720914:CAO720914 CKH720914:CKK720914 CUD720914:CUG720914 DDZ720914:DEC720914 DNV720914:DNY720914 DXR720914:DXU720914 EHN720914:EHQ720914 ERJ720914:ERM720914 FBF720914:FBI720914 FLB720914:FLE720914 FUX720914:FVA720914 GET720914:GEW720914 GOP720914:GOS720914 GYL720914:GYO720914 HIH720914:HIK720914 HSD720914:HSG720914 IBZ720914:ICC720914 ILV720914:ILY720914 IVR720914:IVU720914 JFN720914:JFQ720914 JPJ720914:JPM720914 JZF720914:JZI720914 KJB720914:KJE720914 KSX720914:KTA720914 LCT720914:LCW720914 LMP720914:LMS720914 LWL720914:LWO720914 MGH720914:MGK720914 MQD720914:MQG720914 MZZ720914:NAC720914 NJV720914:NJY720914 NTR720914:NTU720914 ODN720914:ODQ720914 ONJ720914:ONM720914 OXF720914:OXI720914 PHB720914:PHE720914 PQX720914:PRA720914 QAT720914:QAW720914 QKP720914:QKS720914 QUL720914:QUO720914 REH720914:REK720914 ROD720914:ROG720914 RXZ720914:RYC720914 SHV720914:SHY720914 SRR720914:SRU720914 TBN720914:TBQ720914 TLJ720914:TLM720914 TVF720914:TVI720914 UFB720914:UFE720914 UOX720914:UPA720914 UYT720914:UYW720914 VIP720914:VIS720914 VSL720914:VSO720914 WCH720914:WCK720914 WMD720914:WMG720914 WVZ720914:WWC720914 R786450:U786450 JN786450:JQ786450 TJ786450:TM786450 ADF786450:ADI786450 ANB786450:ANE786450 AWX786450:AXA786450 BGT786450:BGW786450 BQP786450:BQS786450 CAL786450:CAO786450 CKH786450:CKK786450 CUD786450:CUG786450 DDZ786450:DEC786450 DNV786450:DNY786450 DXR786450:DXU786450 EHN786450:EHQ786450 ERJ786450:ERM786450 FBF786450:FBI786450 FLB786450:FLE786450 FUX786450:FVA786450 GET786450:GEW786450 GOP786450:GOS786450 GYL786450:GYO786450 HIH786450:HIK786450 HSD786450:HSG786450 IBZ786450:ICC786450 ILV786450:ILY786450 IVR786450:IVU786450 JFN786450:JFQ786450 JPJ786450:JPM786450 JZF786450:JZI786450 KJB786450:KJE786450 KSX786450:KTA786450 LCT786450:LCW786450 LMP786450:LMS786450 LWL786450:LWO786450 MGH786450:MGK786450 MQD786450:MQG786450 MZZ786450:NAC786450 NJV786450:NJY786450 NTR786450:NTU786450 ODN786450:ODQ786450 ONJ786450:ONM786450 OXF786450:OXI786450 PHB786450:PHE786450 PQX786450:PRA786450 QAT786450:QAW786450 QKP786450:QKS786450 QUL786450:QUO786450 REH786450:REK786450 ROD786450:ROG786450 RXZ786450:RYC786450 SHV786450:SHY786450 SRR786450:SRU786450 TBN786450:TBQ786450 TLJ786450:TLM786450 TVF786450:TVI786450 UFB786450:UFE786450 UOX786450:UPA786450 UYT786450:UYW786450 VIP786450:VIS786450 VSL786450:VSO786450 WCH786450:WCK786450 WMD786450:WMG786450 WVZ786450:WWC786450 R851986:U851986 JN851986:JQ851986 TJ851986:TM851986 ADF851986:ADI851986 ANB851986:ANE851986 AWX851986:AXA851986 BGT851986:BGW851986 BQP851986:BQS851986 CAL851986:CAO851986 CKH851986:CKK851986 CUD851986:CUG851986 DDZ851986:DEC851986 DNV851986:DNY851986 DXR851986:DXU851986 EHN851986:EHQ851986 ERJ851986:ERM851986 FBF851986:FBI851986 FLB851986:FLE851986 FUX851986:FVA851986 GET851986:GEW851986 GOP851986:GOS851986 GYL851986:GYO851986 HIH851986:HIK851986 HSD851986:HSG851986 IBZ851986:ICC851986 ILV851986:ILY851986 IVR851986:IVU851986 JFN851986:JFQ851986 JPJ851986:JPM851986 JZF851986:JZI851986 KJB851986:KJE851986 KSX851986:KTA851986 LCT851986:LCW851986 LMP851986:LMS851986 LWL851986:LWO851986 MGH851986:MGK851986 MQD851986:MQG851986 MZZ851986:NAC851986 NJV851986:NJY851986 NTR851986:NTU851986 ODN851986:ODQ851986 ONJ851986:ONM851986 OXF851986:OXI851986 PHB851986:PHE851986 PQX851986:PRA851986 QAT851986:QAW851986 QKP851986:QKS851986 QUL851986:QUO851986 REH851986:REK851986 ROD851986:ROG851986 RXZ851986:RYC851986 SHV851986:SHY851986 SRR851986:SRU851986 TBN851986:TBQ851986 TLJ851986:TLM851986 TVF851986:TVI851986 UFB851986:UFE851986 UOX851986:UPA851986 UYT851986:UYW851986 VIP851986:VIS851986 VSL851986:VSO851986 WCH851986:WCK851986 WMD851986:WMG851986 WVZ851986:WWC851986 R917522:U917522 JN917522:JQ917522 TJ917522:TM917522 ADF917522:ADI917522 ANB917522:ANE917522 AWX917522:AXA917522 BGT917522:BGW917522 BQP917522:BQS917522 CAL917522:CAO917522 CKH917522:CKK917522 CUD917522:CUG917522 DDZ917522:DEC917522 DNV917522:DNY917522 DXR917522:DXU917522 EHN917522:EHQ917522 ERJ917522:ERM917522 FBF917522:FBI917522 FLB917522:FLE917522 FUX917522:FVA917522 GET917522:GEW917522 GOP917522:GOS917522 GYL917522:GYO917522 HIH917522:HIK917522 HSD917522:HSG917522 IBZ917522:ICC917522 ILV917522:ILY917522 IVR917522:IVU917522 JFN917522:JFQ917522 JPJ917522:JPM917522 JZF917522:JZI917522 KJB917522:KJE917522 KSX917522:KTA917522 LCT917522:LCW917522 LMP917522:LMS917522 LWL917522:LWO917522 MGH917522:MGK917522 MQD917522:MQG917522 MZZ917522:NAC917522 NJV917522:NJY917522 NTR917522:NTU917522 ODN917522:ODQ917522 ONJ917522:ONM917522 OXF917522:OXI917522 PHB917522:PHE917522 PQX917522:PRA917522 QAT917522:QAW917522 QKP917522:QKS917522 QUL917522:QUO917522 REH917522:REK917522 ROD917522:ROG917522 RXZ917522:RYC917522 SHV917522:SHY917522 SRR917522:SRU917522 TBN917522:TBQ917522 TLJ917522:TLM917522 TVF917522:TVI917522 UFB917522:UFE917522 UOX917522:UPA917522 UYT917522:UYW917522 VIP917522:VIS917522 VSL917522:VSO917522 WCH917522:WCK917522 WMD917522:WMG917522 WVZ917522:WWC917522 R983058:U983058 JN983058:JQ983058 TJ983058:TM983058 ADF983058:ADI983058 ANB983058:ANE983058 AWX983058:AXA983058 BGT983058:BGW983058 BQP983058:BQS983058 CAL983058:CAO983058 CKH983058:CKK983058 CUD983058:CUG983058 DDZ983058:DEC983058 DNV983058:DNY983058 DXR983058:DXU983058 EHN983058:EHQ983058 ERJ983058:ERM983058 FBF983058:FBI983058 FLB983058:FLE983058 FUX983058:FVA983058 GET983058:GEW983058 GOP983058:GOS983058 GYL983058:GYO983058 HIH983058:HIK983058 HSD983058:HSG983058 IBZ983058:ICC983058 ILV983058:ILY983058 IVR983058:IVU983058 JFN983058:JFQ983058 JPJ983058:JPM983058 JZF983058:JZI983058 KJB983058:KJE983058 KSX983058:KTA983058 LCT983058:LCW983058 LMP983058:LMS983058 LWL983058:LWO983058 MGH983058:MGK983058 MQD983058:MQG983058 MZZ983058:NAC983058 NJV983058:NJY983058 NTR983058:NTU983058 ODN983058:ODQ983058 ONJ983058:ONM983058 OXF983058:OXI983058 PHB983058:PHE983058 PQX983058:PRA983058 QAT983058:QAW983058 QKP983058:QKS983058 QUL983058:QUO983058 REH983058:REK983058 ROD983058:ROG983058 RXZ983058:RYC983058 SHV983058:SHY983058 SRR983058:SRU983058 TBN983058:TBQ983058 TLJ983058:TLM983058 TVF983058:TVI983058 UFB983058:UFE983058 UOX983058:UPA983058 UYT983058:UYW983058 VIP983058:VIS983058 VSL983058:VSO983058 WCH983058:WCK983058 WMD983058:WMG983058 WVZ983058:WWC983058 M18:P18 JI18:JL18 TE18:TH18 ADA18:ADD18 AMW18:AMZ18 AWS18:AWV18 BGO18:BGR18 BQK18:BQN18 CAG18:CAJ18 CKC18:CKF18 CTY18:CUB18 DDU18:DDX18 DNQ18:DNT18 DXM18:DXP18 EHI18:EHL18 ERE18:ERH18 FBA18:FBD18 FKW18:FKZ18 FUS18:FUV18 GEO18:GER18 GOK18:GON18 GYG18:GYJ18 HIC18:HIF18 HRY18:HSB18 IBU18:IBX18 ILQ18:ILT18 IVM18:IVP18 JFI18:JFL18 JPE18:JPH18 JZA18:JZD18 KIW18:KIZ18 KSS18:KSV18 LCO18:LCR18 LMK18:LMN18 LWG18:LWJ18 MGC18:MGF18 MPY18:MQB18 MZU18:MZX18 NJQ18:NJT18 NTM18:NTP18 ODI18:ODL18 ONE18:ONH18 OXA18:OXD18 PGW18:PGZ18 PQS18:PQV18 QAO18:QAR18 QKK18:QKN18 QUG18:QUJ18 REC18:REF18 RNY18:ROB18 RXU18:RXX18 SHQ18:SHT18 SRM18:SRP18 TBI18:TBL18 TLE18:TLH18 TVA18:TVD18 UEW18:UEZ18 UOS18:UOV18 UYO18:UYR18 VIK18:VIN18 VSG18:VSJ18 WCC18:WCF18 WLY18:WMB18 WVU18:WVX18 M65554:P65554 JI65554:JL65554 TE65554:TH65554 ADA65554:ADD65554 AMW65554:AMZ65554 AWS65554:AWV65554 BGO65554:BGR65554 BQK65554:BQN65554 CAG65554:CAJ65554 CKC65554:CKF65554 CTY65554:CUB65554 DDU65554:DDX65554 DNQ65554:DNT65554 DXM65554:DXP65554 EHI65554:EHL65554 ERE65554:ERH65554 FBA65554:FBD65554 FKW65554:FKZ65554 FUS65554:FUV65554 GEO65554:GER65554 GOK65554:GON65554 GYG65554:GYJ65554 HIC65554:HIF65554 HRY65554:HSB65554 IBU65554:IBX65554 ILQ65554:ILT65554 IVM65554:IVP65554 JFI65554:JFL65554 JPE65554:JPH65554 JZA65554:JZD65554 KIW65554:KIZ65554 KSS65554:KSV65554 LCO65554:LCR65554 LMK65554:LMN65554 LWG65554:LWJ65554 MGC65554:MGF65554 MPY65554:MQB65554 MZU65554:MZX65554 NJQ65554:NJT65554 NTM65554:NTP65554 ODI65554:ODL65554 ONE65554:ONH65554 OXA65554:OXD65554 PGW65554:PGZ65554 PQS65554:PQV65554 QAO65554:QAR65554 QKK65554:QKN65554 QUG65554:QUJ65554 REC65554:REF65554 RNY65554:ROB65554 RXU65554:RXX65554 SHQ65554:SHT65554 SRM65554:SRP65554 TBI65554:TBL65554 TLE65554:TLH65554 TVA65554:TVD65554 UEW65554:UEZ65554 UOS65554:UOV65554 UYO65554:UYR65554 VIK65554:VIN65554 VSG65554:VSJ65554 WCC65554:WCF65554 WLY65554:WMB65554 WVU65554:WVX65554 M131090:P131090 JI131090:JL131090 TE131090:TH131090 ADA131090:ADD131090 AMW131090:AMZ131090 AWS131090:AWV131090 BGO131090:BGR131090 BQK131090:BQN131090 CAG131090:CAJ131090 CKC131090:CKF131090 CTY131090:CUB131090 DDU131090:DDX131090 DNQ131090:DNT131090 DXM131090:DXP131090 EHI131090:EHL131090 ERE131090:ERH131090 FBA131090:FBD131090 FKW131090:FKZ131090 FUS131090:FUV131090 GEO131090:GER131090 GOK131090:GON131090 GYG131090:GYJ131090 HIC131090:HIF131090 HRY131090:HSB131090 IBU131090:IBX131090 ILQ131090:ILT131090 IVM131090:IVP131090 JFI131090:JFL131090 JPE131090:JPH131090 JZA131090:JZD131090 KIW131090:KIZ131090 KSS131090:KSV131090 LCO131090:LCR131090 LMK131090:LMN131090 LWG131090:LWJ131090 MGC131090:MGF131090 MPY131090:MQB131090 MZU131090:MZX131090 NJQ131090:NJT131090 NTM131090:NTP131090 ODI131090:ODL131090 ONE131090:ONH131090 OXA131090:OXD131090 PGW131090:PGZ131090 PQS131090:PQV131090 QAO131090:QAR131090 QKK131090:QKN131090 QUG131090:QUJ131090 REC131090:REF131090 RNY131090:ROB131090 RXU131090:RXX131090 SHQ131090:SHT131090 SRM131090:SRP131090 TBI131090:TBL131090 TLE131090:TLH131090 TVA131090:TVD131090 UEW131090:UEZ131090 UOS131090:UOV131090 UYO131090:UYR131090 VIK131090:VIN131090 VSG131090:VSJ131090 WCC131090:WCF131090 WLY131090:WMB131090 WVU131090:WVX131090 M196626:P196626 JI196626:JL196626 TE196626:TH196626 ADA196626:ADD196626 AMW196626:AMZ196626 AWS196626:AWV196626 BGO196626:BGR196626 BQK196626:BQN196626 CAG196626:CAJ196626 CKC196626:CKF196626 CTY196626:CUB196626 DDU196626:DDX196626 DNQ196626:DNT196626 DXM196626:DXP196626 EHI196626:EHL196626 ERE196626:ERH196626 FBA196626:FBD196626 FKW196626:FKZ196626 FUS196626:FUV196626 GEO196626:GER196626 GOK196626:GON196626 GYG196626:GYJ196626 HIC196626:HIF196626 HRY196626:HSB196626 IBU196626:IBX196626 ILQ196626:ILT196626 IVM196626:IVP196626 JFI196626:JFL196626 JPE196626:JPH196626 JZA196626:JZD196626 KIW196626:KIZ196626 KSS196626:KSV196626 LCO196626:LCR196626 LMK196626:LMN196626 LWG196626:LWJ196626 MGC196626:MGF196626 MPY196626:MQB196626 MZU196626:MZX196626 NJQ196626:NJT196626 NTM196626:NTP196626 ODI196626:ODL196626 ONE196626:ONH196626 OXA196626:OXD196626 PGW196626:PGZ196626 PQS196626:PQV196626 QAO196626:QAR196626 QKK196626:QKN196626 QUG196626:QUJ196626 REC196626:REF196626 RNY196626:ROB196626 RXU196626:RXX196626 SHQ196626:SHT196626 SRM196626:SRP196626 TBI196626:TBL196626 TLE196626:TLH196626 TVA196626:TVD196626 UEW196626:UEZ196626 UOS196626:UOV196626 UYO196626:UYR196626 VIK196626:VIN196626 VSG196626:VSJ196626 WCC196626:WCF196626 WLY196626:WMB196626 WVU196626:WVX196626 M262162:P262162 JI262162:JL262162 TE262162:TH262162 ADA262162:ADD262162 AMW262162:AMZ262162 AWS262162:AWV262162 BGO262162:BGR262162 BQK262162:BQN262162 CAG262162:CAJ262162 CKC262162:CKF262162 CTY262162:CUB262162 DDU262162:DDX262162 DNQ262162:DNT262162 DXM262162:DXP262162 EHI262162:EHL262162 ERE262162:ERH262162 FBA262162:FBD262162 FKW262162:FKZ262162 FUS262162:FUV262162 GEO262162:GER262162 GOK262162:GON262162 GYG262162:GYJ262162 HIC262162:HIF262162 HRY262162:HSB262162 IBU262162:IBX262162 ILQ262162:ILT262162 IVM262162:IVP262162 JFI262162:JFL262162 JPE262162:JPH262162 JZA262162:JZD262162 KIW262162:KIZ262162 KSS262162:KSV262162 LCO262162:LCR262162 LMK262162:LMN262162 LWG262162:LWJ262162 MGC262162:MGF262162 MPY262162:MQB262162 MZU262162:MZX262162 NJQ262162:NJT262162 NTM262162:NTP262162 ODI262162:ODL262162 ONE262162:ONH262162 OXA262162:OXD262162 PGW262162:PGZ262162 PQS262162:PQV262162 QAO262162:QAR262162 QKK262162:QKN262162 QUG262162:QUJ262162 REC262162:REF262162 RNY262162:ROB262162 RXU262162:RXX262162 SHQ262162:SHT262162 SRM262162:SRP262162 TBI262162:TBL262162 TLE262162:TLH262162 TVA262162:TVD262162 UEW262162:UEZ262162 UOS262162:UOV262162 UYO262162:UYR262162 VIK262162:VIN262162 VSG262162:VSJ262162 WCC262162:WCF262162 WLY262162:WMB262162 WVU262162:WVX262162 M327698:P327698 JI327698:JL327698 TE327698:TH327698 ADA327698:ADD327698 AMW327698:AMZ327698 AWS327698:AWV327698 BGO327698:BGR327698 BQK327698:BQN327698 CAG327698:CAJ327698 CKC327698:CKF327698 CTY327698:CUB327698 DDU327698:DDX327698 DNQ327698:DNT327698 DXM327698:DXP327698 EHI327698:EHL327698 ERE327698:ERH327698 FBA327698:FBD327698 FKW327698:FKZ327698 FUS327698:FUV327698 GEO327698:GER327698 GOK327698:GON327698 GYG327698:GYJ327698 HIC327698:HIF327698 HRY327698:HSB327698 IBU327698:IBX327698 ILQ327698:ILT327698 IVM327698:IVP327698 JFI327698:JFL327698 JPE327698:JPH327698 JZA327698:JZD327698 KIW327698:KIZ327698 KSS327698:KSV327698 LCO327698:LCR327698 LMK327698:LMN327698 LWG327698:LWJ327698 MGC327698:MGF327698 MPY327698:MQB327698 MZU327698:MZX327698 NJQ327698:NJT327698 NTM327698:NTP327698 ODI327698:ODL327698 ONE327698:ONH327698 OXA327698:OXD327698 PGW327698:PGZ327698 PQS327698:PQV327698 QAO327698:QAR327698 QKK327698:QKN327698 QUG327698:QUJ327698 REC327698:REF327698 RNY327698:ROB327698 RXU327698:RXX327698 SHQ327698:SHT327698 SRM327698:SRP327698 TBI327698:TBL327698 TLE327698:TLH327698 TVA327698:TVD327698 UEW327698:UEZ327698 UOS327698:UOV327698 UYO327698:UYR327698 VIK327698:VIN327698 VSG327698:VSJ327698 WCC327698:WCF327698 WLY327698:WMB327698 WVU327698:WVX327698 M393234:P393234 JI393234:JL393234 TE393234:TH393234 ADA393234:ADD393234 AMW393234:AMZ393234 AWS393234:AWV393234 BGO393234:BGR393234 BQK393234:BQN393234 CAG393234:CAJ393234 CKC393234:CKF393234 CTY393234:CUB393234 DDU393234:DDX393234 DNQ393234:DNT393234 DXM393234:DXP393234 EHI393234:EHL393234 ERE393234:ERH393234 FBA393234:FBD393234 FKW393234:FKZ393234 FUS393234:FUV393234 GEO393234:GER393234 GOK393234:GON393234 GYG393234:GYJ393234 HIC393234:HIF393234 HRY393234:HSB393234 IBU393234:IBX393234 ILQ393234:ILT393234 IVM393234:IVP393234 JFI393234:JFL393234 JPE393234:JPH393234 JZA393234:JZD393234 KIW393234:KIZ393234 KSS393234:KSV393234 LCO393234:LCR393234 LMK393234:LMN393234 LWG393234:LWJ393234 MGC393234:MGF393234 MPY393234:MQB393234 MZU393234:MZX393234 NJQ393234:NJT393234 NTM393234:NTP393234 ODI393234:ODL393234 ONE393234:ONH393234 OXA393234:OXD393234 PGW393234:PGZ393234 PQS393234:PQV393234 QAO393234:QAR393234 QKK393234:QKN393234 QUG393234:QUJ393234 REC393234:REF393234 RNY393234:ROB393234 RXU393234:RXX393234 SHQ393234:SHT393234 SRM393234:SRP393234 TBI393234:TBL393234 TLE393234:TLH393234 TVA393234:TVD393234 UEW393234:UEZ393234 UOS393234:UOV393234 UYO393234:UYR393234 VIK393234:VIN393234 VSG393234:VSJ393234 WCC393234:WCF393234 WLY393234:WMB393234 WVU393234:WVX393234 M458770:P458770 JI458770:JL458770 TE458770:TH458770 ADA458770:ADD458770 AMW458770:AMZ458770 AWS458770:AWV458770 BGO458770:BGR458770 BQK458770:BQN458770 CAG458770:CAJ458770 CKC458770:CKF458770 CTY458770:CUB458770 DDU458770:DDX458770 DNQ458770:DNT458770 DXM458770:DXP458770 EHI458770:EHL458770 ERE458770:ERH458770 FBA458770:FBD458770 FKW458770:FKZ458770 FUS458770:FUV458770 GEO458770:GER458770 GOK458770:GON458770 GYG458770:GYJ458770 HIC458770:HIF458770 HRY458770:HSB458770 IBU458770:IBX458770 ILQ458770:ILT458770 IVM458770:IVP458770 JFI458770:JFL458770 JPE458770:JPH458770 JZA458770:JZD458770 KIW458770:KIZ458770 KSS458770:KSV458770 LCO458770:LCR458770 LMK458770:LMN458770 LWG458770:LWJ458770 MGC458770:MGF458770 MPY458770:MQB458770 MZU458770:MZX458770 NJQ458770:NJT458770 NTM458770:NTP458770 ODI458770:ODL458770 ONE458770:ONH458770 OXA458770:OXD458770 PGW458770:PGZ458770 PQS458770:PQV458770 QAO458770:QAR458770 QKK458770:QKN458770 QUG458770:QUJ458770 REC458770:REF458770 RNY458770:ROB458770 RXU458770:RXX458770 SHQ458770:SHT458770 SRM458770:SRP458770 TBI458770:TBL458770 TLE458770:TLH458770 TVA458770:TVD458770 UEW458770:UEZ458770 UOS458770:UOV458770 UYO458770:UYR458770 VIK458770:VIN458770 VSG458770:VSJ458770 WCC458770:WCF458770 WLY458770:WMB458770 WVU458770:WVX458770 M524306:P524306 JI524306:JL524306 TE524306:TH524306 ADA524306:ADD524306 AMW524306:AMZ524306 AWS524306:AWV524306 BGO524306:BGR524306 BQK524306:BQN524306 CAG524306:CAJ524306 CKC524306:CKF524306 CTY524306:CUB524306 DDU524306:DDX524306 DNQ524306:DNT524306 DXM524306:DXP524306 EHI524306:EHL524306 ERE524306:ERH524306 FBA524306:FBD524306 FKW524306:FKZ524306 FUS524306:FUV524306 GEO524306:GER524306 GOK524306:GON524306 GYG524306:GYJ524306 HIC524306:HIF524306 HRY524306:HSB524306 IBU524306:IBX524306 ILQ524306:ILT524306 IVM524306:IVP524306 JFI524306:JFL524306 JPE524306:JPH524306 JZA524306:JZD524306 KIW524306:KIZ524306 KSS524306:KSV524306 LCO524306:LCR524306 LMK524306:LMN524306 LWG524306:LWJ524306 MGC524306:MGF524306 MPY524306:MQB524306 MZU524306:MZX524306 NJQ524306:NJT524306 NTM524306:NTP524306 ODI524306:ODL524306 ONE524306:ONH524306 OXA524306:OXD524306 PGW524306:PGZ524306 PQS524306:PQV524306 QAO524306:QAR524306 QKK524306:QKN524306 QUG524306:QUJ524306 REC524306:REF524306 RNY524306:ROB524306 RXU524306:RXX524306 SHQ524306:SHT524306 SRM524306:SRP524306 TBI524306:TBL524306 TLE524306:TLH524306 TVA524306:TVD524306 UEW524306:UEZ524306 UOS524306:UOV524306 UYO524306:UYR524306 VIK524306:VIN524306 VSG524306:VSJ524306 WCC524306:WCF524306 WLY524306:WMB524306 WVU524306:WVX524306 M589842:P589842 JI589842:JL589842 TE589842:TH589842 ADA589842:ADD589842 AMW589842:AMZ589842 AWS589842:AWV589842 BGO589842:BGR589842 BQK589842:BQN589842 CAG589842:CAJ589842 CKC589842:CKF589842 CTY589842:CUB589842 DDU589842:DDX589842 DNQ589842:DNT589842 DXM589842:DXP589842 EHI589842:EHL589842 ERE589842:ERH589842 FBA589842:FBD589842 FKW589842:FKZ589842 FUS589842:FUV589842 GEO589842:GER589842 GOK589842:GON589842 GYG589842:GYJ589842 HIC589842:HIF589842 HRY589842:HSB589842 IBU589842:IBX589842 ILQ589842:ILT589842 IVM589842:IVP589842 JFI589842:JFL589842 JPE589842:JPH589842 JZA589842:JZD589842 KIW589842:KIZ589842 KSS589842:KSV589842 LCO589842:LCR589842 LMK589842:LMN589842 LWG589842:LWJ589842 MGC589842:MGF589842 MPY589842:MQB589842 MZU589842:MZX589842 NJQ589842:NJT589842 NTM589842:NTP589842 ODI589842:ODL589842 ONE589842:ONH589842 OXA589842:OXD589842 PGW589842:PGZ589842 PQS589842:PQV589842 QAO589842:QAR589842 QKK589842:QKN589842 QUG589842:QUJ589842 REC589842:REF589842 RNY589842:ROB589842 RXU589842:RXX589842 SHQ589842:SHT589842 SRM589842:SRP589842 TBI589842:TBL589842 TLE589842:TLH589842 TVA589842:TVD589842 UEW589842:UEZ589842 UOS589842:UOV589842 UYO589842:UYR589842 VIK589842:VIN589842 VSG589842:VSJ589842 WCC589842:WCF589842 WLY589842:WMB589842 WVU589842:WVX589842 M655378:P655378 JI655378:JL655378 TE655378:TH655378 ADA655378:ADD655378 AMW655378:AMZ655378 AWS655378:AWV655378 BGO655378:BGR655378 BQK655378:BQN655378 CAG655378:CAJ655378 CKC655378:CKF655378 CTY655378:CUB655378 DDU655378:DDX655378 DNQ655378:DNT655378 DXM655378:DXP655378 EHI655378:EHL655378 ERE655378:ERH655378 FBA655378:FBD655378 FKW655378:FKZ655378 FUS655378:FUV655378 GEO655378:GER655378 GOK655378:GON655378 GYG655378:GYJ655378 HIC655378:HIF655378 HRY655378:HSB655378 IBU655378:IBX655378 ILQ655378:ILT655378 IVM655378:IVP655378 JFI655378:JFL655378 JPE655378:JPH655378 JZA655378:JZD655378 KIW655378:KIZ655378 KSS655378:KSV655378 LCO655378:LCR655378 LMK655378:LMN655378 LWG655378:LWJ655378 MGC655378:MGF655378 MPY655378:MQB655378 MZU655378:MZX655378 NJQ655378:NJT655378 NTM655378:NTP655378 ODI655378:ODL655378 ONE655378:ONH655378 OXA655378:OXD655378 PGW655378:PGZ655378 PQS655378:PQV655378 QAO655378:QAR655378 QKK655378:QKN655378 QUG655378:QUJ655378 REC655378:REF655378 RNY655378:ROB655378 RXU655378:RXX655378 SHQ655378:SHT655378 SRM655378:SRP655378 TBI655378:TBL655378 TLE655378:TLH655378 TVA655378:TVD655378 UEW655378:UEZ655378 UOS655378:UOV655378 UYO655378:UYR655378 VIK655378:VIN655378 VSG655378:VSJ655378 WCC655378:WCF655378 WLY655378:WMB655378 WVU655378:WVX655378 M720914:P720914 JI720914:JL720914 TE720914:TH720914 ADA720914:ADD720914 AMW720914:AMZ720914 AWS720914:AWV720914 BGO720914:BGR720914 BQK720914:BQN720914 CAG720914:CAJ720914 CKC720914:CKF720914 CTY720914:CUB720914 DDU720914:DDX720914 DNQ720914:DNT720914 DXM720914:DXP720914 EHI720914:EHL720914 ERE720914:ERH720914 FBA720914:FBD720914 FKW720914:FKZ720914 FUS720914:FUV720914 GEO720914:GER720914 GOK720914:GON720914 GYG720914:GYJ720914 HIC720914:HIF720914 HRY720914:HSB720914 IBU720914:IBX720914 ILQ720914:ILT720914 IVM720914:IVP720914 JFI720914:JFL720914 JPE720914:JPH720914 JZA720914:JZD720914 KIW720914:KIZ720914 KSS720914:KSV720914 LCO720914:LCR720914 LMK720914:LMN720914 LWG720914:LWJ720914 MGC720914:MGF720914 MPY720914:MQB720914 MZU720914:MZX720914 NJQ720914:NJT720914 NTM720914:NTP720914 ODI720914:ODL720914 ONE720914:ONH720914 OXA720914:OXD720914 PGW720914:PGZ720914 PQS720914:PQV720914 QAO720914:QAR720914 QKK720914:QKN720914 QUG720914:QUJ720914 REC720914:REF720914 RNY720914:ROB720914 RXU720914:RXX720914 SHQ720914:SHT720914 SRM720914:SRP720914 TBI720914:TBL720914 TLE720914:TLH720914 TVA720914:TVD720914 UEW720914:UEZ720914 UOS720914:UOV720914 UYO720914:UYR720914 VIK720914:VIN720914 VSG720914:VSJ720914 WCC720914:WCF720914 WLY720914:WMB720914 WVU720914:WVX720914 M786450:P786450 JI786450:JL786450 TE786450:TH786450 ADA786450:ADD786450 AMW786450:AMZ786450 AWS786450:AWV786450 BGO786450:BGR786450 BQK786450:BQN786450 CAG786450:CAJ786450 CKC786450:CKF786450 CTY786450:CUB786450 DDU786450:DDX786450 DNQ786450:DNT786450 DXM786450:DXP786450 EHI786450:EHL786450 ERE786450:ERH786450 FBA786450:FBD786450 FKW786450:FKZ786450 FUS786450:FUV786450 GEO786450:GER786450 GOK786450:GON786450 GYG786450:GYJ786450 HIC786450:HIF786450 HRY786450:HSB786450 IBU786450:IBX786450 ILQ786450:ILT786450 IVM786450:IVP786450 JFI786450:JFL786450 JPE786450:JPH786450 JZA786450:JZD786450 KIW786450:KIZ786450 KSS786450:KSV786450 LCO786450:LCR786450 LMK786450:LMN786450 LWG786450:LWJ786450 MGC786450:MGF786450 MPY786450:MQB786450 MZU786450:MZX786450 NJQ786450:NJT786450 NTM786450:NTP786450 ODI786450:ODL786450 ONE786450:ONH786450 OXA786450:OXD786450 PGW786450:PGZ786450 PQS786450:PQV786450 QAO786450:QAR786450 QKK786450:QKN786450 QUG786450:QUJ786450 REC786450:REF786450 RNY786450:ROB786450 RXU786450:RXX786450 SHQ786450:SHT786450 SRM786450:SRP786450 TBI786450:TBL786450 TLE786450:TLH786450 TVA786450:TVD786450 UEW786450:UEZ786450 UOS786450:UOV786450 UYO786450:UYR786450 VIK786450:VIN786450 VSG786450:VSJ786450 WCC786450:WCF786450 WLY786450:WMB786450 WVU786450:WVX786450 M851986:P851986 JI851986:JL851986 TE851986:TH851986 ADA851986:ADD851986 AMW851986:AMZ851986 AWS851986:AWV851986 BGO851986:BGR851986 BQK851986:BQN851986 CAG851986:CAJ851986 CKC851986:CKF851986 CTY851986:CUB851986 DDU851986:DDX851986 DNQ851986:DNT851986 DXM851986:DXP851986 EHI851986:EHL851986 ERE851986:ERH851986 FBA851986:FBD851986 FKW851986:FKZ851986 FUS851986:FUV851986 GEO851986:GER851986 GOK851986:GON851986 GYG851986:GYJ851986 HIC851986:HIF851986 HRY851986:HSB851986 IBU851986:IBX851986 ILQ851986:ILT851986 IVM851986:IVP851986 JFI851986:JFL851986 JPE851986:JPH851986 JZA851986:JZD851986 KIW851986:KIZ851986 KSS851986:KSV851986 LCO851986:LCR851986 LMK851986:LMN851986 LWG851986:LWJ851986 MGC851986:MGF851986 MPY851986:MQB851986 MZU851986:MZX851986 NJQ851986:NJT851986 NTM851986:NTP851986 ODI851986:ODL851986 ONE851986:ONH851986 OXA851986:OXD851986 PGW851986:PGZ851986 PQS851986:PQV851986 QAO851986:QAR851986 QKK851986:QKN851986 QUG851986:QUJ851986 REC851986:REF851986 RNY851986:ROB851986 RXU851986:RXX851986 SHQ851986:SHT851986 SRM851986:SRP851986 TBI851986:TBL851986 TLE851986:TLH851986 TVA851986:TVD851986 UEW851986:UEZ851986 UOS851986:UOV851986 UYO851986:UYR851986 VIK851986:VIN851986 VSG851986:VSJ851986 WCC851986:WCF851986 WLY851986:WMB851986 WVU851986:WVX851986 M917522:P917522 JI917522:JL917522 TE917522:TH917522 ADA917522:ADD917522 AMW917522:AMZ917522 AWS917522:AWV917522 BGO917522:BGR917522 BQK917522:BQN917522 CAG917522:CAJ917522 CKC917522:CKF917522 CTY917522:CUB917522 DDU917522:DDX917522 DNQ917522:DNT917522 DXM917522:DXP917522 EHI917522:EHL917522 ERE917522:ERH917522 FBA917522:FBD917522 FKW917522:FKZ917522 FUS917522:FUV917522 GEO917522:GER917522 GOK917522:GON917522 GYG917522:GYJ917522 HIC917522:HIF917522 HRY917522:HSB917522 IBU917522:IBX917522 ILQ917522:ILT917522 IVM917522:IVP917522 JFI917522:JFL917522 JPE917522:JPH917522 JZA917522:JZD917522 KIW917522:KIZ917522 KSS917522:KSV917522 LCO917522:LCR917522 LMK917522:LMN917522 LWG917522:LWJ917522 MGC917522:MGF917522 MPY917522:MQB917522 MZU917522:MZX917522 NJQ917522:NJT917522 NTM917522:NTP917522 ODI917522:ODL917522 ONE917522:ONH917522 OXA917522:OXD917522 PGW917522:PGZ917522 PQS917522:PQV917522 QAO917522:QAR917522 QKK917522:QKN917522 QUG917522:QUJ917522 REC917522:REF917522 RNY917522:ROB917522 RXU917522:RXX917522 SHQ917522:SHT917522 SRM917522:SRP917522 TBI917522:TBL917522 TLE917522:TLH917522 TVA917522:TVD917522 UEW917522:UEZ917522 UOS917522:UOV917522 UYO917522:UYR917522 VIK917522:VIN917522 VSG917522:VSJ917522 WCC917522:WCF917522 WLY917522:WMB917522 WVU917522:WVX917522 M983058:P983058 JI983058:JL983058 TE983058:TH983058 ADA983058:ADD983058 AMW983058:AMZ983058 AWS983058:AWV983058 BGO983058:BGR983058 BQK983058:BQN983058 CAG983058:CAJ983058 CKC983058:CKF983058 CTY983058:CUB983058 DDU983058:DDX983058 DNQ983058:DNT983058 DXM983058:DXP983058 EHI983058:EHL983058 ERE983058:ERH983058 FBA983058:FBD983058 FKW983058:FKZ983058 FUS983058:FUV983058 GEO983058:GER983058 GOK983058:GON983058 GYG983058:GYJ983058 HIC983058:HIF983058 HRY983058:HSB983058 IBU983058:IBX983058 ILQ983058:ILT983058 IVM983058:IVP983058 JFI983058:JFL983058 JPE983058:JPH983058 JZA983058:JZD983058 KIW983058:KIZ983058 KSS983058:KSV983058 LCO983058:LCR983058 LMK983058:LMN983058 LWG983058:LWJ983058 MGC983058:MGF983058 MPY983058:MQB983058 MZU983058:MZX983058 NJQ983058:NJT983058 NTM983058:NTP983058 ODI983058:ODL983058 ONE983058:ONH983058 OXA983058:OXD983058 PGW983058:PGZ983058 PQS983058:PQV983058 QAO983058:QAR983058 QKK983058:QKN983058 QUG983058:QUJ983058 REC983058:REF983058 RNY983058:ROB983058 RXU983058:RXX983058 SHQ983058:SHT983058 SRM983058:SRP983058 TBI983058:TBL983058 TLE983058:TLH983058 TVA983058:TVD983058 UEW983058:UEZ983058 UOS983058:UOV983058 UYO983058:UYR983058 VIK983058:VIN983058 VSG983058:VSJ983058 WCC983058:WCF983058 WLY983058:WMB983058 WVU983058:WVX983058 M56:P61 JI56:JL61 TE56:TH61 ADA56:ADD61 AMW56:AMZ61 AWS56:AWV61 BGO56:BGR61 BQK56:BQN61 CAG56:CAJ61 CKC56:CKF61 CTY56:CUB61 DDU56:DDX61 DNQ56:DNT61 DXM56:DXP61 EHI56:EHL61 ERE56:ERH61 FBA56:FBD61 FKW56:FKZ61 FUS56:FUV61 GEO56:GER61 GOK56:GON61 GYG56:GYJ61 HIC56:HIF61 HRY56:HSB61 IBU56:IBX61 ILQ56:ILT61 IVM56:IVP61 JFI56:JFL61 JPE56:JPH61 JZA56:JZD61 KIW56:KIZ61 KSS56:KSV61 LCO56:LCR61 LMK56:LMN61 LWG56:LWJ61 MGC56:MGF61 MPY56:MQB61 MZU56:MZX61 NJQ56:NJT61 NTM56:NTP61 ODI56:ODL61 ONE56:ONH61 OXA56:OXD61 PGW56:PGZ61 PQS56:PQV61 QAO56:QAR61 QKK56:QKN61 QUG56:QUJ61 REC56:REF61 RNY56:ROB61 RXU56:RXX61 SHQ56:SHT61 SRM56:SRP61 TBI56:TBL61 TLE56:TLH61 TVA56:TVD61 UEW56:UEZ61 UOS56:UOV61 UYO56:UYR61 VIK56:VIN61 VSG56:VSJ61 WCC56:WCF61 WLY56:WMB61 WVU56:WVX61 M65592:P65597 JI65592:JL65597 TE65592:TH65597 ADA65592:ADD65597 AMW65592:AMZ65597 AWS65592:AWV65597 BGO65592:BGR65597 BQK65592:BQN65597 CAG65592:CAJ65597 CKC65592:CKF65597 CTY65592:CUB65597 DDU65592:DDX65597 DNQ65592:DNT65597 DXM65592:DXP65597 EHI65592:EHL65597 ERE65592:ERH65597 FBA65592:FBD65597 FKW65592:FKZ65597 FUS65592:FUV65597 GEO65592:GER65597 GOK65592:GON65597 GYG65592:GYJ65597 HIC65592:HIF65597 HRY65592:HSB65597 IBU65592:IBX65597 ILQ65592:ILT65597 IVM65592:IVP65597 JFI65592:JFL65597 JPE65592:JPH65597 JZA65592:JZD65597 KIW65592:KIZ65597 KSS65592:KSV65597 LCO65592:LCR65597 LMK65592:LMN65597 LWG65592:LWJ65597 MGC65592:MGF65597 MPY65592:MQB65597 MZU65592:MZX65597 NJQ65592:NJT65597 NTM65592:NTP65597 ODI65592:ODL65597 ONE65592:ONH65597 OXA65592:OXD65597 PGW65592:PGZ65597 PQS65592:PQV65597 QAO65592:QAR65597 QKK65592:QKN65597 QUG65592:QUJ65597 REC65592:REF65597 RNY65592:ROB65597 RXU65592:RXX65597 SHQ65592:SHT65597 SRM65592:SRP65597 TBI65592:TBL65597 TLE65592:TLH65597 TVA65592:TVD65597 UEW65592:UEZ65597 UOS65592:UOV65597 UYO65592:UYR65597 VIK65592:VIN65597 VSG65592:VSJ65597 WCC65592:WCF65597 WLY65592:WMB65597 WVU65592:WVX65597 M131128:P131133 JI131128:JL131133 TE131128:TH131133 ADA131128:ADD131133 AMW131128:AMZ131133 AWS131128:AWV131133 BGO131128:BGR131133 BQK131128:BQN131133 CAG131128:CAJ131133 CKC131128:CKF131133 CTY131128:CUB131133 DDU131128:DDX131133 DNQ131128:DNT131133 DXM131128:DXP131133 EHI131128:EHL131133 ERE131128:ERH131133 FBA131128:FBD131133 FKW131128:FKZ131133 FUS131128:FUV131133 GEO131128:GER131133 GOK131128:GON131133 GYG131128:GYJ131133 HIC131128:HIF131133 HRY131128:HSB131133 IBU131128:IBX131133 ILQ131128:ILT131133 IVM131128:IVP131133 JFI131128:JFL131133 JPE131128:JPH131133 JZA131128:JZD131133 KIW131128:KIZ131133 KSS131128:KSV131133 LCO131128:LCR131133 LMK131128:LMN131133 LWG131128:LWJ131133 MGC131128:MGF131133 MPY131128:MQB131133 MZU131128:MZX131133 NJQ131128:NJT131133 NTM131128:NTP131133 ODI131128:ODL131133 ONE131128:ONH131133 OXA131128:OXD131133 PGW131128:PGZ131133 PQS131128:PQV131133 QAO131128:QAR131133 QKK131128:QKN131133 QUG131128:QUJ131133 REC131128:REF131133 RNY131128:ROB131133 RXU131128:RXX131133 SHQ131128:SHT131133 SRM131128:SRP131133 TBI131128:TBL131133 TLE131128:TLH131133 TVA131128:TVD131133 UEW131128:UEZ131133 UOS131128:UOV131133 UYO131128:UYR131133 VIK131128:VIN131133 VSG131128:VSJ131133 WCC131128:WCF131133 WLY131128:WMB131133 WVU131128:WVX131133 M196664:P196669 JI196664:JL196669 TE196664:TH196669 ADA196664:ADD196669 AMW196664:AMZ196669 AWS196664:AWV196669 BGO196664:BGR196669 BQK196664:BQN196669 CAG196664:CAJ196669 CKC196664:CKF196669 CTY196664:CUB196669 DDU196664:DDX196669 DNQ196664:DNT196669 DXM196664:DXP196669 EHI196664:EHL196669 ERE196664:ERH196669 FBA196664:FBD196669 FKW196664:FKZ196669 FUS196664:FUV196669 GEO196664:GER196669 GOK196664:GON196669 GYG196664:GYJ196669 HIC196664:HIF196669 HRY196664:HSB196669 IBU196664:IBX196669 ILQ196664:ILT196669 IVM196664:IVP196669 JFI196664:JFL196669 JPE196664:JPH196669 JZA196664:JZD196669 KIW196664:KIZ196669 KSS196664:KSV196669 LCO196664:LCR196669 LMK196664:LMN196669 LWG196664:LWJ196669 MGC196664:MGF196669 MPY196664:MQB196669 MZU196664:MZX196669 NJQ196664:NJT196669 NTM196664:NTP196669 ODI196664:ODL196669 ONE196664:ONH196669 OXA196664:OXD196669 PGW196664:PGZ196669 PQS196664:PQV196669 QAO196664:QAR196669 QKK196664:QKN196669 QUG196664:QUJ196669 REC196664:REF196669 RNY196664:ROB196669 RXU196664:RXX196669 SHQ196664:SHT196669 SRM196664:SRP196669 TBI196664:TBL196669 TLE196664:TLH196669 TVA196664:TVD196669 UEW196664:UEZ196669 UOS196664:UOV196669 UYO196664:UYR196669 VIK196664:VIN196669 VSG196664:VSJ196669 WCC196664:WCF196669 WLY196664:WMB196669 WVU196664:WVX196669 M262200:P262205 JI262200:JL262205 TE262200:TH262205 ADA262200:ADD262205 AMW262200:AMZ262205 AWS262200:AWV262205 BGO262200:BGR262205 BQK262200:BQN262205 CAG262200:CAJ262205 CKC262200:CKF262205 CTY262200:CUB262205 DDU262200:DDX262205 DNQ262200:DNT262205 DXM262200:DXP262205 EHI262200:EHL262205 ERE262200:ERH262205 FBA262200:FBD262205 FKW262200:FKZ262205 FUS262200:FUV262205 GEO262200:GER262205 GOK262200:GON262205 GYG262200:GYJ262205 HIC262200:HIF262205 HRY262200:HSB262205 IBU262200:IBX262205 ILQ262200:ILT262205 IVM262200:IVP262205 JFI262200:JFL262205 JPE262200:JPH262205 JZA262200:JZD262205 KIW262200:KIZ262205 KSS262200:KSV262205 LCO262200:LCR262205 LMK262200:LMN262205 LWG262200:LWJ262205 MGC262200:MGF262205 MPY262200:MQB262205 MZU262200:MZX262205 NJQ262200:NJT262205 NTM262200:NTP262205 ODI262200:ODL262205 ONE262200:ONH262205 OXA262200:OXD262205 PGW262200:PGZ262205 PQS262200:PQV262205 QAO262200:QAR262205 QKK262200:QKN262205 QUG262200:QUJ262205 REC262200:REF262205 RNY262200:ROB262205 RXU262200:RXX262205 SHQ262200:SHT262205 SRM262200:SRP262205 TBI262200:TBL262205 TLE262200:TLH262205 TVA262200:TVD262205 UEW262200:UEZ262205 UOS262200:UOV262205 UYO262200:UYR262205 VIK262200:VIN262205 VSG262200:VSJ262205 WCC262200:WCF262205 WLY262200:WMB262205 WVU262200:WVX262205 M327736:P327741 JI327736:JL327741 TE327736:TH327741 ADA327736:ADD327741 AMW327736:AMZ327741 AWS327736:AWV327741 BGO327736:BGR327741 BQK327736:BQN327741 CAG327736:CAJ327741 CKC327736:CKF327741 CTY327736:CUB327741 DDU327736:DDX327741 DNQ327736:DNT327741 DXM327736:DXP327741 EHI327736:EHL327741 ERE327736:ERH327741 FBA327736:FBD327741 FKW327736:FKZ327741 FUS327736:FUV327741 GEO327736:GER327741 GOK327736:GON327741 GYG327736:GYJ327741 HIC327736:HIF327741 HRY327736:HSB327741 IBU327736:IBX327741 ILQ327736:ILT327741 IVM327736:IVP327741 JFI327736:JFL327741 JPE327736:JPH327741 JZA327736:JZD327741 KIW327736:KIZ327741 KSS327736:KSV327741 LCO327736:LCR327741 LMK327736:LMN327741 LWG327736:LWJ327741 MGC327736:MGF327741 MPY327736:MQB327741 MZU327736:MZX327741 NJQ327736:NJT327741 NTM327736:NTP327741 ODI327736:ODL327741 ONE327736:ONH327741 OXA327736:OXD327741 PGW327736:PGZ327741 PQS327736:PQV327741 QAO327736:QAR327741 QKK327736:QKN327741 QUG327736:QUJ327741 REC327736:REF327741 RNY327736:ROB327741 RXU327736:RXX327741 SHQ327736:SHT327741 SRM327736:SRP327741 TBI327736:TBL327741 TLE327736:TLH327741 TVA327736:TVD327741 UEW327736:UEZ327741 UOS327736:UOV327741 UYO327736:UYR327741 VIK327736:VIN327741 VSG327736:VSJ327741 WCC327736:WCF327741 WLY327736:WMB327741 WVU327736:WVX327741 M393272:P393277 JI393272:JL393277 TE393272:TH393277 ADA393272:ADD393277 AMW393272:AMZ393277 AWS393272:AWV393277 BGO393272:BGR393277 BQK393272:BQN393277 CAG393272:CAJ393277 CKC393272:CKF393277 CTY393272:CUB393277 DDU393272:DDX393277 DNQ393272:DNT393277 DXM393272:DXP393277 EHI393272:EHL393277 ERE393272:ERH393277 FBA393272:FBD393277 FKW393272:FKZ393277 FUS393272:FUV393277 GEO393272:GER393277 GOK393272:GON393277 GYG393272:GYJ393277 HIC393272:HIF393277 HRY393272:HSB393277 IBU393272:IBX393277 ILQ393272:ILT393277 IVM393272:IVP393277 JFI393272:JFL393277 JPE393272:JPH393277 JZA393272:JZD393277 KIW393272:KIZ393277 KSS393272:KSV393277 LCO393272:LCR393277 LMK393272:LMN393277 LWG393272:LWJ393277 MGC393272:MGF393277 MPY393272:MQB393277 MZU393272:MZX393277 NJQ393272:NJT393277 NTM393272:NTP393277 ODI393272:ODL393277 ONE393272:ONH393277 OXA393272:OXD393277 PGW393272:PGZ393277 PQS393272:PQV393277 QAO393272:QAR393277 QKK393272:QKN393277 QUG393272:QUJ393277 REC393272:REF393277 RNY393272:ROB393277 RXU393272:RXX393277 SHQ393272:SHT393277 SRM393272:SRP393277 TBI393272:TBL393277 TLE393272:TLH393277 TVA393272:TVD393277 UEW393272:UEZ393277 UOS393272:UOV393277 UYO393272:UYR393277 VIK393272:VIN393277 VSG393272:VSJ393277 WCC393272:WCF393277 WLY393272:WMB393277 WVU393272:WVX393277 M458808:P458813 JI458808:JL458813 TE458808:TH458813 ADA458808:ADD458813 AMW458808:AMZ458813 AWS458808:AWV458813 BGO458808:BGR458813 BQK458808:BQN458813 CAG458808:CAJ458813 CKC458808:CKF458813 CTY458808:CUB458813 DDU458808:DDX458813 DNQ458808:DNT458813 DXM458808:DXP458813 EHI458808:EHL458813 ERE458808:ERH458813 FBA458808:FBD458813 FKW458808:FKZ458813 FUS458808:FUV458813 GEO458808:GER458813 GOK458808:GON458813 GYG458808:GYJ458813 HIC458808:HIF458813 HRY458808:HSB458813 IBU458808:IBX458813 ILQ458808:ILT458813 IVM458808:IVP458813 JFI458808:JFL458813 JPE458808:JPH458813 JZA458808:JZD458813 KIW458808:KIZ458813 KSS458808:KSV458813 LCO458808:LCR458813 LMK458808:LMN458813 LWG458808:LWJ458813 MGC458808:MGF458813 MPY458808:MQB458813 MZU458808:MZX458813 NJQ458808:NJT458813 NTM458808:NTP458813 ODI458808:ODL458813 ONE458808:ONH458813 OXA458808:OXD458813 PGW458808:PGZ458813 PQS458808:PQV458813 QAO458808:QAR458813 QKK458808:QKN458813 QUG458808:QUJ458813 REC458808:REF458813 RNY458808:ROB458813 RXU458808:RXX458813 SHQ458808:SHT458813 SRM458808:SRP458813 TBI458808:TBL458813 TLE458808:TLH458813 TVA458808:TVD458813 UEW458808:UEZ458813 UOS458808:UOV458813 UYO458808:UYR458813 VIK458808:VIN458813 VSG458808:VSJ458813 WCC458808:WCF458813 WLY458808:WMB458813 WVU458808:WVX458813 M524344:P524349 JI524344:JL524349 TE524344:TH524349 ADA524344:ADD524349 AMW524344:AMZ524349 AWS524344:AWV524349 BGO524344:BGR524349 BQK524344:BQN524349 CAG524344:CAJ524349 CKC524344:CKF524349 CTY524344:CUB524349 DDU524344:DDX524349 DNQ524344:DNT524349 DXM524344:DXP524349 EHI524344:EHL524349 ERE524344:ERH524349 FBA524344:FBD524349 FKW524344:FKZ524349 FUS524344:FUV524349 GEO524344:GER524349 GOK524344:GON524349 GYG524344:GYJ524349 HIC524344:HIF524349 HRY524344:HSB524349 IBU524344:IBX524349 ILQ524344:ILT524349 IVM524344:IVP524349 JFI524344:JFL524349 JPE524344:JPH524349 JZA524344:JZD524349 KIW524344:KIZ524349 KSS524344:KSV524349 LCO524344:LCR524349 LMK524344:LMN524349 LWG524344:LWJ524349 MGC524344:MGF524349 MPY524344:MQB524349 MZU524344:MZX524349 NJQ524344:NJT524349 NTM524344:NTP524349 ODI524344:ODL524349 ONE524344:ONH524349 OXA524344:OXD524349 PGW524344:PGZ524349 PQS524344:PQV524349 QAO524344:QAR524349 QKK524344:QKN524349 QUG524344:QUJ524349 REC524344:REF524349 RNY524344:ROB524349 RXU524344:RXX524349 SHQ524344:SHT524349 SRM524344:SRP524349 TBI524344:TBL524349 TLE524344:TLH524349 TVA524344:TVD524349 UEW524344:UEZ524349 UOS524344:UOV524349 UYO524344:UYR524349 VIK524344:VIN524349 VSG524344:VSJ524349 WCC524344:WCF524349 WLY524344:WMB524349 WVU524344:WVX524349 M589880:P589885 JI589880:JL589885 TE589880:TH589885 ADA589880:ADD589885 AMW589880:AMZ589885 AWS589880:AWV589885 BGO589880:BGR589885 BQK589880:BQN589885 CAG589880:CAJ589885 CKC589880:CKF589885 CTY589880:CUB589885 DDU589880:DDX589885 DNQ589880:DNT589885 DXM589880:DXP589885 EHI589880:EHL589885 ERE589880:ERH589885 FBA589880:FBD589885 FKW589880:FKZ589885 FUS589880:FUV589885 GEO589880:GER589885 GOK589880:GON589885 GYG589880:GYJ589885 HIC589880:HIF589885 HRY589880:HSB589885 IBU589880:IBX589885 ILQ589880:ILT589885 IVM589880:IVP589885 JFI589880:JFL589885 JPE589880:JPH589885 JZA589880:JZD589885 KIW589880:KIZ589885 KSS589880:KSV589885 LCO589880:LCR589885 LMK589880:LMN589885 LWG589880:LWJ589885 MGC589880:MGF589885 MPY589880:MQB589885 MZU589880:MZX589885 NJQ589880:NJT589885 NTM589880:NTP589885 ODI589880:ODL589885 ONE589880:ONH589885 OXA589880:OXD589885 PGW589880:PGZ589885 PQS589880:PQV589885 QAO589880:QAR589885 QKK589880:QKN589885 QUG589880:QUJ589885 REC589880:REF589885 RNY589880:ROB589885 RXU589880:RXX589885 SHQ589880:SHT589885 SRM589880:SRP589885 TBI589880:TBL589885 TLE589880:TLH589885 TVA589880:TVD589885 UEW589880:UEZ589885 UOS589880:UOV589885 UYO589880:UYR589885 VIK589880:VIN589885 VSG589880:VSJ589885 WCC589880:WCF589885 WLY589880:WMB589885 WVU589880:WVX589885 M655416:P655421 JI655416:JL655421 TE655416:TH655421 ADA655416:ADD655421 AMW655416:AMZ655421 AWS655416:AWV655421 BGO655416:BGR655421 BQK655416:BQN655421 CAG655416:CAJ655421 CKC655416:CKF655421 CTY655416:CUB655421 DDU655416:DDX655421 DNQ655416:DNT655421 DXM655416:DXP655421 EHI655416:EHL655421 ERE655416:ERH655421 FBA655416:FBD655421 FKW655416:FKZ655421 FUS655416:FUV655421 GEO655416:GER655421 GOK655416:GON655421 GYG655416:GYJ655421 HIC655416:HIF655421 HRY655416:HSB655421 IBU655416:IBX655421 ILQ655416:ILT655421 IVM655416:IVP655421 JFI655416:JFL655421 JPE655416:JPH655421 JZA655416:JZD655421 KIW655416:KIZ655421 KSS655416:KSV655421 LCO655416:LCR655421 LMK655416:LMN655421 LWG655416:LWJ655421 MGC655416:MGF655421 MPY655416:MQB655421 MZU655416:MZX655421 NJQ655416:NJT655421 NTM655416:NTP655421 ODI655416:ODL655421 ONE655416:ONH655421 OXA655416:OXD655421 PGW655416:PGZ655421 PQS655416:PQV655421 QAO655416:QAR655421 QKK655416:QKN655421 QUG655416:QUJ655421 REC655416:REF655421 RNY655416:ROB655421 RXU655416:RXX655421 SHQ655416:SHT655421 SRM655416:SRP655421 TBI655416:TBL655421 TLE655416:TLH655421 TVA655416:TVD655421 UEW655416:UEZ655421 UOS655416:UOV655421 UYO655416:UYR655421 VIK655416:VIN655421 VSG655416:VSJ655421 WCC655416:WCF655421 WLY655416:WMB655421 WVU655416:WVX655421 M720952:P720957 JI720952:JL720957 TE720952:TH720957 ADA720952:ADD720957 AMW720952:AMZ720957 AWS720952:AWV720957 BGO720952:BGR720957 BQK720952:BQN720957 CAG720952:CAJ720957 CKC720952:CKF720957 CTY720952:CUB720957 DDU720952:DDX720957 DNQ720952:DNT720957 DXM720952:DXP720957 EHI720952:EHL720957 ERE720952:ERH720957 FBA720952:FBD720957 FKW720952:FKZ720957 FUS720952:FUV720957 GEO720952:GER720957 GOK720952:GON720957 GYG720952:GYJ720957 HIC720952:HIF720957 HRY720952:HSB720957 IBU720952:IBX720957 ILQ720952:ILT720957 IVM720952:IVP720957 JFI720952:JFL720957 JPE720952:JPH720957 JZA720952:JZD720957 KIW720952:KIZ720957 KSS720952:KSV720957 LCO720952:LCR720957 LMK720952:LMN720957 LWG720952:LWJ720957 MGC720952:MGF720957 MPY720952:MQB720957 MZU720952:MZX720957 NJQ720952:NJT720957 NTM720952:NTP720957 ODI720952:ODL720957 ONE720952:ONH720957 OXA720952:OXD720957 PGW720952:PGZ720957 PQS720952:PQV720957 QAO720952:QAR720957 QKK720952:QKN720957 QUG720952:QUJ720957 REC720952:REF720957 RNY720952:ROB720957 RXU720952:RXX720957 SHQ720952:SHT720957 SRM720952:SRP720957 TBI720952:TBL720957 TLE720952:TLH720957 TVA720952:TVD720957 UEW720952:UEZ720957 UOS720952:UOV720957 UYO720952:UYR720957 VIK720952:VIN720957 VSG720952:VSJ720957 WCC720952:WCF720957 WLY720952:WMB720957 WVU720952:WVX720957 M786488:P786493 JI786488:JL786493 TE786488:TH786493 ADA786488:ADD786493 AMW786488:AMZ786493 AWS786488:AWV786493 BGO786488:BGR786493 BQK786488:BQN786493 CAG786488:CAJ786493 CKC786488:CKF786493 CTY786488:CUB786493 DDU786488:DDX786493 DNQ786488:DNT786493 DXM786488:DXP786493 EHI786488:EHL786493 ERE786488:ERH786493 FBA786488:FBD786493 FKW786488:FKZ786493 FUS786488:FUV786493 GEO786488:GER786493 GOK786488:GON786493 GYG786488:GYJ786493 HIC786488:HIF786493 HRY786488:HSB786493 IBU786488:IBX786493 ILQ786488:ILT786493 IVM786488:IVP786493 JFI786488:JFL786493 JPE786488:JPH786493 JZA786488:JZD786493 KIW786488:KIZ786493 KSS786488:KSV786493 LCO786488:LCR786493 LMK786488:LMN786493 LWG786488:LWJ786493 MGC786488:MGF786493 MPY786488:MQB786493 MZU786488:MZX786493 NJQ786488:NJT786493 NTM786488:NTP786493 ODI786488:ODL786493 ONE786488:ONH786493 OXA786488:OXD786493 PGW786488:PGZ786493 PQS786488:PQV786493 QAO786488:QAR786493 QKK786488:QKN786493 QUG786488:QUJ786493 REC786488:REF786493 RNY786488:ROB786493 RXU786488:RXX786493 SHQ786488:SHT786493 SRM786488:SRP786493 TBI786488:TBL786493 TLE786488:TLH786493 TVA786488:TVD786493 UEW786488:UEZ786493 UOS786488:UOV786493 UYO786488:UYR786493 VIK786488:VIN786493 VSG786488:VSJ786493 WCC786488:WCF786493 WLY786488:WMB786493 WVU786488:WVX786493 M852024:P852029 JI852024:JL852029 TE852024:TH852029 ADA852024:ADD852029 AMW852024:AMZ852029 AWS852024:AWV852029 BGO852024:BGR852029 BQK852024:BQN852029 CAG852024:CAJ852029 CKC852024:CKF852029 CTY852024:CUB852029 DDU852024:DDX852029 DNQ852024:DNT852029 DXM852024:DXP852029 EHI852024:EHL852029 ERE852024:ERH852029 FBA852024:FBD852029 FKW852024:FKZ852029 FUS852024:FUV852029 GEO852024:GER852029 GOK852024:GON852029 GYG852024:GYJ852029 HIC852024:HIF852029 HRY852024:HSB852029 IBU852024:IBX852029 ILQ852024:ILT852029 IVM852024:IVP852029 JFI852024:JFL852029 JPE852024:JPH852029 JZA852024:JZD852029 KIW852024:KIZ852029 KSS852024:KSV852029 LCO852024:LCR852029 LMK852024:LMN852029 LWG852024:LWJ852029 MGC852024:MGF852029 MPY852024:MQB852029 MZU852024:MZX852029 NJQ852024:NJT852029 NTM852024:NTP852029 ODI852024:ODL852029 ONE852024:ONH852029 OXA852024:OXD852029 PGW852024:PGZ852029 PQS852024:PQV852029 QAO852024:QAR852029 QKK852024:QKN852029 QUG852024:QUJ852029 REC852024:REF852029 RNY852024:ROB852029 RXU852024:RXX852029 SHQ852024:SHT852029 SRM852024:SRP852029 TBI852024:TBL852029 TLE852024:TLH852029 TVA852024:TVD852029 UEW852024:UEZ852029 UOS852024:UOV852029 UYO852024:UYR852029 VIK852024:VIN852029 VSG852024:VSJ852029 WCC852024:WCF852029 WLY852024:WMB852029 WVU852024:WVX852029 M917560:P917565 JI917560:JL917565 TE917560:TH917565 ADA917560:ADD917565 AMW917560:AMZ917565 AWS917560:AWV917565 BGO917560:BGR917565 BQK917560:BQN917565 CAG917560:CAJ917565 CKC917560:CKF917565 CTY917560:CUB917565 DDU917560:DDX917565 DNQ917560:DNT917565 DXM917560:DXP917565 EHI917560:EHL917565 ERE917560:ERH917565 FBA917560:FBD917565 FKW917560:FKZ917565 FUS917560:FUV917565 GEO917560:GER917565 GOK917560:GON917565 GYG917560:GYJ917565 HIC917560:HIF917565 HRY917560:HSB917565 IBU917560:IBX917565 ILQ917560:ILT917565 IVM917560:IVP917565 JFI917560:JFL917565 JPE917560:JPH917565 JZA917560:JZD917565 KIW917560:KIZ917565 KSS917560:KSV917565 LCO917560:LCR917565 LMK917560:LMN917565 LWG917560:LWJ917565 MGC917560:MGF917565 MPY917560:MQB917565 MZU917560:MZX917565 NJQ917560:NJT917565 NTM917560:NTP917565 ODI917560:ODL917565 ONE917560:ONH917565 OXA917560:OXD917565 PGW917560:PGZ917565 PQS917560:PQV917565 QAO917560:QAR917565 QKK917560:QKN917565 QUG917560:QUJ917565 REC917560:REF917565 RNY917560:ROB917565 RXU917560:RXX917565 SHQ917560:SHT917565 SRM917560:SRP917565 TBI917560:TBL917565 TLE917560:TLH917565 TVA917560:TVD917565 UEW917560:UEZ917565 UOS917560:UOV917565 UYO917560:UYR917565 VIK917560:VIN917565 VSG917560:VSJ917565 WCC917560:WCF917565 WLY917560:WMB917565 WVU917560:WVX917565 M983096:P983101 JI983096:JL983101 TE983096:TH983101 ADA983096:ADD983101 AMW983096:AMZ983101 AWS983096:AWV983101 BGO983096:BGR983101 BQK983096:BQN983101 CAG983096:CAJ983101 CKC983096:CKF983101 CTY983096:CUB983101 DDU983096:DDX983101 DNQ983096:DNT983101 DXM983096:DXP983101 EHI983096:EHL983101 ERE983096:ERH983101 FBA983096:FBD983101 FKW983096:FKZ983101 FUS983096:FUV983101 GEO983096:GER983101 GOK983096:GON983101 GYG983096:GYJ983101 HIC983096:HIF983101 HRY983096:HSB983101 IBU983096:IBX983101 ILQ983096:ILT983101 IVM983096:IVP983101 JFI983096:JFL983101 JPE983096:JPH983101 JZA983096:JZD983101 KIW983096:KIZ983101 KSS983096:KSV983101 LCO983096:LCR983101 LMK983096:LMN983101 LWG983096:LWJ983101 MGC983096:MGF983101 MPY983096:MQB983101 MZU983096:MZX983101 NJQ983096:NJT983101 NTM983096:NTP983101 ODI983096:ODL983101 ONE983096:ONH983101 OXA983096:OXD983101 PGW983096:PGZ983101 PQS983096:PQV983101 QAO983096:QAR983101 QKK983096:QKN983101 QUG983096:QUJ983101 REC983096:REF983101 RNY983096:ROB983101 RXU983096:RXX983101 SHQ983096:SHT983101 SRM983096:SRP983101 TBI983096:TBL983101 TLE983096:TLH983101 TVA983096:TVD983101 UEW983096:UEZ983101 UOS983096:UOV983101 UYO983096:UYR983101 VIK983096:VIN983101 VSG983096:VSJ983101 WCC983096:WCF983101 WLY983096:WMB983101 WVU983096:WVX983101 R11:U12 JN11:JQ12 TJ11:TM12 ADF11:ADI12 ANB11:ANE12 AWX11:AXA12 BGT11:BGW12 BQP11:BQS12 CAL11:CAO12 CKH11:CKK12 CUD11:CUG12 DDZ11:DEC12 DNV11:DNY12 DXR11:DXU12 EHN11:EHQ12 ERJ11:ERM12 FBF11:FBI12 FLB11:FLE12 FUX11:FVA12 GET11:GEW12 GOP11:GOS12 GYL11:GYO12 HIH11:HIK12 HSD11:HSG12 IBZ11:ICC12 ILV11:ILY12 IVR11:IVU12 JFN11:JFQ12 JPJ11:JPM12 JZF11:JZI12 KJB11:KJE12 KSX11:KTA12 LCT11:LCW12 LMP11:LMS12 LWL11:LWO12 MGH11:MGK12 MQD11:MQG12 MZZ11:NAC12 NJV11:NJY12 NTR11:NTU12 ODN11:ODQ12 ONJ11:ONM12 OXF11:OXI12 PHB11:PHE12 PQX11:PRA12 QAT11:QAW12 QKP11:QKS12 QUL11:QUO12 REH11:REK12 ROD11:ROG12 RXZ11:RYC12 SHV11:SHY12 SRR11:SRU12 TBN11:TBQ12 TLJ11:TLM12 TVF11:TVI12 UFB11:UFE12 UOX11:UPA12 UYT11:UYW12 VIP11:VIS12 VSL11:VSO12 WCH11:WCK12 WMD11:WMG12 WVZ11:WWC12 R65547:U65548 JN65547:JQ65548 TJ65547:TM65548 ADF65547:ADI65548 ANB65547:ANE65548 AWX65547:AXA65548 BGT65547:BGW65548 BQP65547:BQS65548 CAL65547:CAO65548 CKH65547:CKK65548 CUD65547:CUG65548 DDZ65547:DEC65548 DNV65547:DNY65548 DXR65547:DXU65548 EHN65547:EHQ65548 ERJ65547:ERM65548 FBF65547:FBI65548 FLB65547:FLE65548 FUX65547:FVA65548 GET65547:GEW65548 GOP65547:GOS65548 GYL65547:GYO65548 HIH65547:HIK65548 HSD65547:HSG65548 IBZ65547:ICC65548 ILV65547:ILY65548 IVR65547:IVU65548 JFN65547:JFQ65548 JPJ65547:JPM65548 JZF65547:JZI65548 KJB65547:KJE65548 KSX65547:KTA65548 LCT65547:LCW65548 LMP65547:LMS65548 LWL65547:LWO65548 MGH65547:MGK65548 MQD65547:MQG65548 MZZ65547:NAC65548 NJV65547:NJY65548 NTR65547:NTU65548 ODN65547:ODQ65548 ONJ65547:ONM65548 OXF65547:OXI65548 PHB65547:PHE65548 PQX65547:PRA65548 QAT65547:QAW65548 QKP65547:QKS65548 QUL65547:QUO65548 REH65547:REK65548 ROD65547:ROG65548 RXZ65547:RYC65548 SHV65547:SHY65548 SRR65547:SRU65548 TBN65547:TBQ65548 TLJ65547:TLM65548 TVF65547:TVI65548 UFB65547:UFE65548 UOX65547:UPA65548 UYT65547:UYW65548 VIP65547:VIS65548 VSL65547:VSO65548 WCH65547:WCK65548 WMD65547:WMG65548 WVZ65547:WWC65548 R131083:U131084 JN131083:JQ131084 TJ131083:TM131084 ADF131083:ADI131084 ANB131083:ANE131084 AWX131083:AXA131084 BGT131083:BGW131084 BQP131083:BQS131084 CAL131083:CAO131084 CKH131083:CKK131084 CUD131083:CUG131084 DDZ131083:DEC131084 DNV131083:DNY131084 DXR131083:DXU131084 EHN131083:EHQ131084 ERJ131083:ERM131084 FBF131083:FBI131084 FLB131083:FLE131084 FUX131083:FVA131084 GET131083:GEW131084 GOP131083:GOS131084 GYL131083:GYO131084 HIH131083:HIK131084 HSD131083:HSG131084 IBZ131083:ICC131084 ILV131083:ILY131084 IVR131083:IVU131084 JFN131083:JFQ131084 JPJ131083:JPM131084 JZF131083:JZI131084 KJB131083:KJE131084 KSX131083:KTA131084 LCT131083:LCW131084 LMP131083:LMS131084 LWL131083:LWO131084 MGH131083:MGK131084 MQD131083:MQG131084 MZZ131083:NAC131084 NJV131083:NJY131084 NTR131083:NTU131084 ODN131083:ODQ131084 ONJ131083:ONM131084 OXF131083:OXI131084 PHB131083:PHE131084 PQX131083:PRA131084 QAT131083:QAW131084 QKP131083:QKS131084 QUL131083:QUO131084 REH131083:REK131084 ROD131083:ROG131084 RXZ131083:RYC131084 SHV131083:SHY131084 SRR131083:SRU131084 TBN131083:TBQ131084 TLJ131083:TLM131084 TVF131083:TVI131084 UFB131083:UFE131084 UOX131083:UPA131084 UYT131083:UYW131084 VIP131083:VIS131084 VSL131083:VSO131084 WCH131083:WCK131084 WMD131083:WMG131084 WVZ131083:WWC131084 R196619:U196620 JN196619:JQ196620 TJ196619:TM196620 ADF196619:ADI196620 ANB196619:ANE196620 AWX196619:AXA196620 BGT196619:BGW196620 BQP196619:BQS196620 CAL196619:CAO196620 CKH196619:CKK196620 CUD196619:CUG196620 DDZ196619:DEC196620 DNV196619:DNY196620 DXR196619:DXU196620 EHN196619:EHQ196620 ERJ196619:ERM196620 FBF196619:FBI196620 FLB196619:FLE196620 FUX196619:FVA196620 GET196619:GEW196620 GOP196619:GOS196620 GYL196619:GYO196620 HIH196619:HIK196620 HSD196619:HSG196620 IBZ196619:ICC196620 ILV196619:ILY196620 IVR196619:IVU196620 JFN196619:JFQ196620 JPJ196619:JPM196620 JZF196619:JZI196620 KJB196619:KJE196620 KSX196619:KTA196620 LCT196619:LCW196620 LMP196619:LMS196620 LWL196619:LWO196620 MGH196619:MGK196620 MQD196619:MQG196620 MZZ196619:NAC196620 NJV196619:NJY196620 NTR196619:NTU196620 ODN196619:ODQ196620 ONJ196619:ONM196620 OXF196619:OXI196620 PHB196619:PHE196620 PQX196619:PRA196620 QAT196619:QAW196620 QKP196619:QKS196620 QUL196619:QUO196620 REH196619:REK196620 ROD196619:ROG196620 RXZ196619:RYC196620 SHV196619:SHY196620 SRR196619:SRU196620 TBN196619:TBQ196620 TLJ196619:TLM196620 TVF196619:TVI196620 UFB196619:UFE196620 UOX196619:UPA196620 UYT196619:UYW196620 VIP196619:VIS196620 VSL196619:VSO196620 WCH196619:WCK196620 WMD196619:WMG196620 WVZ196619:WWC196620 R262155:U262156 JN262155:JQ262156 TJ262155:TM262156 ADF262155:ADI262156 ANB262155:ANE262156 AWX262155:AXA262156 BGT262155:BGW262156 BQP262155:BQS262156 CAL262155:CAO262156 CKH262155:CKK262156 CUD262155:CUG262156 DDZ262155:DEC262156 DNV262155:DNY262156 DXR262155:DXU262156 EHN262155:EHQ262156 ERJ262155:ERM262156 FBF262155:FBI262156 FLB262155:FLE262156 FUX262155:FVA262156 GET262155:GEW262156 GOP262155:GOS262156 GYL262155:GYO262156 HIH262155:HIK262156 HSD262155:HSG262156 IBZ262155:ICC262156 ILV262155:ILY262156 IVR262155:IVU262156 JFN262155:JFQ262156 JPJ262155:JPM262156 JZF262155:JZI262156 KJB262155:KJE262156 KSX262155:KTA262156 LCT262155:LCW262156 LMP262155:LMS262156 LWL262155:LWO262156 MGH262155:MGK262156 MQD262155:MQG262156 MZZ262155:NAC262156 NJV262155:NJY262156 NTR262155:NTU262156 ODN262155:ODQ262156 ONJ262155:ONM262156 OXF262155:OXI262156 PHB262155:PHE262156 PQX262155:PRA262156 QAT262155:QAW262156 QKP262155:QKS262156 QUL262155:QUO262156 REH262155:REK262156 ROD262155:ROG262156 RXZ262155:RYC262156 SHV262155:SHY262156 SRR262155:SRU262156 TBN262155:TBQ262156 TLJ262155:TLM262156 TVF262155:TVI262156 UFB262155:UFE262156 UOX262155:UPA262156 UYT262155:UYW262156 VIP262155:VIS262156 VSL262155:VSO262156 WCH262155:WCK262156 WMD262155:WMG262156 WVZ262155:WWC262156 R327691:U327692 JN327691:JQ327692 TJ327691:TM327692 ADF327691:ADI327692 ANB327691:ANE327692 AWX327691:AXA327692 BGT327691:BGW327692 BQP327691:BQS327692 CAL327691:CAO327692 CKH327691:CKK327692 CUD327691:CUG327692 DDZ327691:DEC327692 DNV327691:DNY327692 DXR327691:DXU327692 EHN327691:EHQ327692 ERJ327691:ERM327692 FBF327691:FBI327692 FLB327691:FLE327692 FUX327691:FVA327692 GET327691:GEW327692 GOP327691:GOS327692 GYL327691:GYO327692 HIH327691:HIK327692 HSD327691:HSG327692 IBZ327691:ICC327692 ILV327691:ILY327692 IVR327691:IVU327692 JFN327691:JFQ327692 JPJ327691:JPM327692 JZF327691:JZI327692 KJB327691:KJE327692 KSX327691:KTA327692 LCT327691:LCW327692 LMP327691:LMS327692 LWL327691:LWO327692 MGH327691:MGK327692 MQD327691:MQG327692 MZZ327691:NAC327692 NJV327691:NJY327692 NTR327691:NTU327692 ODN327691:ODQ327692 ONJ327691:ONM327692 OXF327691:OXI327692 PHB327691:PHE327692 PQX327691:PRA327692 QAT327691:QAW327692 QKP327691:QKS327692 QUL327691:QUO327692 REH327691:REK327692 ROD327691:ROG327692 RXZ327691:RYC327692 SHV327691:SHY327692 SRR327691:SRU327692 TBN327691:TBQ327692 TLJ327691:TLM327692 TVF327691:TVI327692 UFB327691:UFE327692 UOX327691:UPA327692 UYT327691:UYW327692 VIP327691:VIS327692 VSL327691:VSO327692 WCH327691:WCK327692 WMD327691:WMG327692 WVZ327691:WWC327692 R393227:U393228 JN393227:JQ393228 TJ393227:TM393228 ADF393227:ADI393228 ANB393227:ANE393228 AWX393227:AXA393228 BGT393227:BGW393228 BQP393227:BQS393228 CAL393227:CAO393228 CKH393227:CKK393228 CUD393227:CUG393228 DDZ393227:DEC393228 DNV393227:DNY393228 DXR393227:DXU393228 EHN393227:EHQ393228 ERJ393227:ERM393228 FBF393227:FBI393228 FLB393227:FLE393228 FUX393227:FVA393228 GET393227:GEW393228 GOP393227:GOS393228 GYL393227:GYO393228 HIH393227:HIK393228 HSD393227:HSG393228 IBZ393227:ICC393228 ILV393227:ILY393228 IVR393227:IVU393228 JFN393227:JFQ393228 JPJ393227:JPM393228 JZF393227:JZI393228 KJB393227:KJE393228 KSX393227:KTA393228 LCT393227:LCW393228 LMP393227:LMS393228 LWL393227:LWO393228 MGH393227:MGK393228 MQD393227:MQG393228 MZZ393227:NAC393228 NJV393227:NJY393228 NTR393227:NTU393228 ODN393227:ODQ393228 ONJ393227:ONM393228 OXF393227:OXI393228 PHB393227:PHE393228 PQX393227:PRA393228 QAT393227:QAW393228 QKP393227:QKS393228 QUL393227:QUO393228 REH393227:REK393228 ROD393227:ROG393228 RXZ393227:RYC393228 SHV393227:SHY393228 SRR393227:SRU393228 TBN393227:TBQ393228 TLJ393227:TLM393228 TVF393227:TVI393228 UFB393227:UFE393228 UOX393227:UPA393228 UYT393227:UYW393228 VIP393227:VIS393228 VSL393227:VSO393228 WCH393227:WCK393228 WMD393227:WMG393228 WVZ393227:WWC393228 R458763:U458764 JN458763:JQ458764 TJ458763:TM458764 ADF458763:ADI458764 ANB458763:ANE458764 AWX458763:AXA458764 BGT458763:BGW458764 BQP458763:BQS458764 CAL458763:CAO458764 CKH458763:CKK458764 CUD458763:CUG458764 DDZ458763:DEC458764 DNV458763:DNY458764 DXR458763:DXU458764 EHN458763:EHQ458764 ERJ458763:ERM458764 FBF458763:FBI458764 FLB458763:FLE458764 FUX458763:FVA458764 GET458763:GEW458764 GOP458763:GOS458764 GYL458763:GYO458764 HIH458763:HIK458764 HSD458763:HSG458764 IBZ458763:ICC458764 ILV458763:ILY458764 IVR458763:IVU458764 JFN458763:JFQ458764 JPJ458763:JPM458764 JZF458763:JZI458764 KJB458763:KJE458764 KSX458763:KTA458764 LCT458763:LCW458764 LMP458763:LMS458764 LWL458763:LWO458764 MGH458763:MGK458764 MQD458763:MQG458764 MZZ458763:NAC458764 NJV458763:NJY458764 NTR458763:NTU458764 ODN458763:ODQ458764 ONJ458763:ONM458764 OXF458763:OXI458764 PHB458763:PHE458764 PQX458763:PRA458764 QAT458763:QAW458764 QKP458763:QKS458764 QUL458763:QUO458764 REH458763:REK458764 ROD458763:ROG458764 RXZ458763:RYC458764 SHV458763:SHY458764 SRR458763:SRU458764 TBN458763:TBQ458764 TLJ458763:TLM458764 TVF458763:TVI458764 UFB458763:UFE458764 UOX458763:UPA458764 UYT458763:UYW458764 VIP458763:VIS458764 VSL458763:VSO458764 WCH458763:WCK458764 WMD458763:WMG458764 WVZ458763:WWC458764 R524299:U524300 JN524299:JQ524300 TJ524299:TM524300 ADF524299:ADI524300 ANB524299:ANE524300 AWX524299:AXA524300 BGT524299:BGW524300 BQP524299:BQS524300 CAL524299:CAO524300 CKH524299:CKK524300 CUD524299:CUG524300 DDZ524299:DEC524300 DNV524299:DNY524300 DXR524299:DXU524300 EHN524299:EHQ524300 ERJ524299:ERM524300 FBF524299:FBI524300 FLB524299:FLE524300 FUX524299:FVA524300 GET524299:GEW524300 GOP524299:GOS524300 GYL524299:GYO524300 HIH524299:HIK524300 HSD524299:HSG524300 IBZ524299:ICC524300 ILV524299:ILY524300 IVR524299:IVU524300 JFN524299:JFQ524300 JPJ524299:JPM524300 JZF524299:JZI524300 KJB524299:KJE524300 KSX524299:KTA524300 LCT524299:LCW524300 LMP524299:LMS524300 LWL524299:LWO524300 MGH524299:MGK524300 MQD524299:MQG524300 MZZ524299:NAC524300 NJV524299:NJY524300 NTR524299:NTU524300 ODN524299:ODQ524300 ONJ524299:ONM524300 OXF524299:OXI524300 PHB524299:PHE524300 PQX524299:PRA524300 QAT524299:QAW524300 QKP524299:QKS524300 QUL524299:QUO524300 REH524299:REK524300 ROD524299:ROG524300 RXZ524299:RYC524300 SHV524299:SHY524300 SRR524299:SRU524300 TBN524299:TBQ524300 TLJ524299:TLM524300 TVF524299:TVI524300 UFB524299:UFE524300 UOX524299:UPA524300 UYT524299:UYW524300 VIP524299:VIS524300 VSL524299:VSO524300 WCH524299:WCK524300 WMD524299:WMG524300 WVZ524299:WWC524300 R589835:U589836 JN589835:JQ589836 TJ589835:TM589836 ADF589835:ADI589836 ANB589835:ANE589836 AWX589835:AXA589836 BGT589835:BGW589836 BQP589835:BQS589836 CAL589835:CAO589836 CKH589835:CKK589836 CUD589835:CUG589836 DDZ589835:DEC589836 DNV589835:DNY589836 DXR589835:DXU589836 EHN589835:EHQ589836 ERJ589835:ERM589836 FBF589835:FBI589836 FLB589835:FLE589836 FUX589835:FVA589836 GET589835:GEW589836 GOP589835:GOS589836 GYL589835:GYO589836 HIH589835:HIK589836 HSD589835:HSG589836 IBZ589835:ICC589836 ILV589835:ILY589836 IVR589835:IVU589836 JFN589835:JFQ589836 JPJ589835:JPM589836 JZF589835:JZI589836 KJB589835:KJE589836 KSX589835:KTA589836 LCT589835:LCW589836 LMP589835:LMS589836 LWL589835:LWO589836 MGH589835:MGK589836 MQD589835:MQG589836 MZZ589835:NAC589836 NJV589835:NJY589836 NTR589835:NTU589836 ODN589835:ODQ589836 ONJ589835:ONM589836 OXF589835:OXI589836 PHB589835:PHE589836 PQX589835:PRA589836 QAT589835:QAW589836 QKP589835:QKS589836 QUL589835:QUO589836 REH589835:REK589836 ROD589835:ROG589836 RXZ589835:RYC589836 SHV589835:SHY589836 SRR589835:SRU589836 TBN589835:TBQ589836 TLJ589835:TLM589836 TVF589835:TVI589836 UFB589835:UFE589836 UOX589835:UPA589836 UYT589835:UYW589836 VIP589835:VIS589836 VSL589835:VSO589836 WCH589835:WCK589836 WMD589835:WMG589836 WVZ589835:WWC589836 R655371:U655372 JN655371:JQ655372 TJ655371:TM655372 ADF655371:ADI655372 ANB655371:ANE655372 AWX655371:AXA655372 BGT655371:BGW655372 BQP655371:BQS655372 CAL655371:CAO655372 CKH655371:CKK655372 CUD655371:CUG655372 DDZ655371:DEC655372 DNV655371:DNY655372 DXR655371:DXU655372 EHN655371:EHQ655372 ERJ655371:ERM655372 FBF655371:FBI655372 FLB655371:FLE655372 FUX655371:FVA655372 GET655371:GEW655372 GOP655371:GOS655372 GYL655371:GYO655372 HIH655371:HIK655372 HSD655371:HSG655372 IBZ655371:ICC655372 ILV655371:ILY655372 IVR655371:IVU655372 JFN655371:JFQ655372 JPJ655371:JPM655372 JZF655371:JZI655372 KJB655371:KJE655372 KSX655371:KTA655372 LCT655371:LCW655372 LMP655371:LMS655372 LWL655371:LWO655372 MGH655371:MGK655372 MQD655371:MQG655372 MZZ655371:NAC655372 NJV655371:NJY655372 NTR655371:NTU655372 ODN655371:ODQ655372 ONJ655371:ONM655372 OXF655371:OXI655372 PHB655371:PHE655372 PQX655371:PRA655372 QAT655371:QAW655372 QKP655371:QKS655372 QUL655371:QUO655372 REH655371:REK655372 ROD655371:ROG655372 RXZ655371:RYC655372 SHV655371:SHY655372 SRR655371:SRU655372 TBN655371:TBQ655372 TLJ655371:TLM655372 TVF655371:TVI655372 UFB655371:UFE655372 UOX655371:UPA655372 UYT655371:UYW655372 VIP655371:VIS655372 VSL655371:VSO655372 WCH655371:WCK655372 WMD655371:WMG655372 WVZ655371:WWC655372 R720907:U720908 JN720907:JQ720908 TJ720907:TM720908 ADF720907:ADI720908 ANB720907:ANE720908 AWX720907:AXA720908 BGT720907:BGW720908 BQP720907:BQS720908 CAL720907:CAO720908 CKH720907:CKK720908 CUD720907:CUG720908 DDZ720907:DEC720908 DNV720907:DNY720908 DXR720907:DXU720908 EHN720907:EHQ720908 ERJ720907:ERM720908 FBF720907:FBI720908 FLB720907:FLE720908 FUX720907:FVA720908 GET720907:GEW720908 GOP720907:GOS720908 GYL720907:GYO720908 HIH720907:HIK720908 HSD720907:HSG720908 IBZ720907:ICC720908 ILV720907:ILY720908 IVR720907:IVU720908 JFN720907:JFQ720908 JPJ720907:JPM720908 JZF720907:JZI720908 KJB720907:KJE720908 KSX720907:KTA720908 LCT720907:LCW720908 LMP720907:LMS720908 LWL720907:LWO720908 MGH720907:MGK720908 MQD720907:MQG720908 MZZ720907:NAC720908 NJV720907:NJY720908 NTR720907:NTU720908 ODN720907:ODQ720908 ONJ720907:ONM720908 OXF720907:OXI720908 PHB720907:PHE720908 PQX720907:PRA720908 QAT720907:QAW720908 QKP720907:QKS720908 QUL720907:QUO720908 REH720907:REK720908 ROD720907:ROG720908 RXZ720907:RYC720908 SHV720907:SHY720908 SRR720907:SRU720908 TBN720907:TBQ720908 TLJ720907:TLM720908 TVF720907:TVI720908 UFB720907:UFE720908 UOX720907:UPA720908 UYT720907:UYW720908 VIP720907:VIS720908 VSL720907:VSO720908 WCH720907:WCK720908 WMD720907:WMG720908 WVZ720907:WWC720908 R786443:U786444 JN786443:JQ786444 TJ786443:TM786444 ADF786443:ADI786444 ANB786443:ANE786444 AWX786443:AXA786444 BGT786443:BGW786444 BQP786443:BQS786444 CAL786443:CAO786444 CKH786443:CKK786444 CUD786443:CUG786444 DDZ786443:DEC786444 DNV786443:DNY786444 DXR786443:DXU786444 EHN786443:EHQ786444 ERJ786443:ERM786444 FBF786443:FBI786444 FLB786443:FLE786444 FUX786443:FVA786444 GET786443:GEW786444 GOP786443:GOS786444 GYL786443:GYO786444 HIH786443:HIK786444 HSD786443:HSG786444 IBZ786443:ICC786444 ILV786443:ILY786444 IVR786443:IVU786444 JFN786443:JFQ786444 JPJ786443:JPM786444 JZF786443:JZI786444 KJB786443:KJE786444 KSX786443:KTA786444 LCT786443:LCW786444 LMP786443:LMS786444 LWL786443:LWO786444 MGH786443:MGK786444 MQD786443:MQG786444 MZZ786443:NAC786444 NJV786443:NJY786444 NTR786443:NTU786444 ODN786443:ODQ786444 ONJ786443:ONM786444 OXF786443:OXI786444 PHB786443:PHE786444 PQX786443:PRA786444 QAT786443:QAW786444 QKP786443:QKS786444 QUL786443:QUO786444 REH786443:REK786444 ROD786443:ROG786444 RXZ786443:RYC786444 SHV786443:SHY786444 SRR786443:SRU786444 TBN786443:TBQ786444 TLJ786443:TLM786444 TVF786443:TVI786444 UFB786443:UFE786444 UOX786443:UPA786444 UYT786443:UYW786444 VIP786443:VIS786444 VSL786443:VSO786444 WCH786443:WCK786444 WMD786443:WMG786444 WVZ786443:WWC786444 R851979:U851980 JN851979:JQ851980 TJ851979:TM851980 ADF851979:ADI851980 ANB851979:ANE851980 AWX851979:AXA851980 BGT851979:BGW851980 BQP851979:BQS851980 CAL851979:CAO851980 CKH851979:CKK851980 CUD851979:CUG851980 DDZ851979:DEC851980 DNV851979:DNY851980 DXR851979:DXU851980 EHN851979:EHQ851980 ERJ851979:ERM851980 FBF851979:FBI851980 FLB851979:FLE851980 FUX851979:FVA851980 GET851979:GEW851980 GOP851979:GOS851980 GYL851979:GYO851980 HIH851979:HIK851980 HSD851979:HSG851980 IBZ851979:ICC851980 ILV851979:ILY851980 IVR851979:IVU851980 JFN851979:JFQ851980 JPJ851979:JPM851980 JZF851979:JZI851980 KJB851979:KJE851980 KSX851979:KTA851980 LCT851979:LCW851980 LMP851979:LMS851980 LWL851979:LWO851980 MGH851979:MGK851980 MQD851979:MQG851980 MZZ851979:NAC851980 NJV851979:NJY851980 NTR851979:NTU851980 ODN851979:ODQ851980 ONJ851979:ONM851980 OXF851979:OXI851980 PHB851979:PHE851980 PQX851979:PRA851980 QAT851979:QAW851980 QKP851979:QKS851980 QUL851979:QUO851980 REH851979:REK851980 ROD851979:ROG851980 RXZ851979:RYC851980 SHV851979:SHY851980 SRR851979:SRU851980 TBN851979:TBQ851980 TLJ851979:TLM851980 TVF851979:TVI851980 UFB851979:UFE851980 UOX851979:UPA851980 UYT851979:UYW851980 VIP851979:VIS851980 VSL851979:VSO851980 WCH851979:WCK851980 WMD851979:WMG851980 WVZ851979:WWC851980 R917515:U917516 JN917515:JQ917516 TJ917515:TM917516 ADF917515:ADI917516 ANB917515:ANE917516 AWX917515:AXA917516 BGT917515:BGW917516 BQP917515:BQS917516 CAL917515:CAO917516 CKH917515:CKK917516 CUD917515:CUG917516 DDZ917515:DEC917516 DNV917515:DNY917516 DXR917515:DXU917516 EHN917515:EHQ917516 ERJ917515:ERM917516 FBF917515:FBI917516 FLB917515:FLE917516 FUX917515:FVA917516 GET917515:GEW917516 GOP917515:GOS917516 GYL917515:GYO917516 HIH917515:HIK917516 HSD917515:HSG917516 IBZ917515:ICC917516 ILV917515:ILY917516 IVR917515:IVU917516 JFN917515:JFQ917516 JPJ917515:JPM917516 JZF917515:JZI917516 KJB917515:KJE917516 KSX917515:KTA917516 LCT917515:LCW917516 LMP917515:LMS917516 LWL917515:LWO917516 MGH917515:MGK917516 MQD917515:MQG917516 MZZ917515:NAC917516 NJV917515:NJY917516 NTR917515:NTU917516 ODN917515:ODQ917516 ONJ917515:ONM917516 OXF917515:OXI917516 PHB917515:PHE917516 PQX917515:PRA917516 QAT917515:QAW917516 QKP917515:QKS917516 QUL917515:QUO917516 REH917515:REK917516 ROD917515:ROG917516 RXZ917515:RYC917516 SHV917515:SHY917516 SRR917515:SRU917516 TBN917515:TBQ917516 TLJ917515:TLM917516 TVF917515:TVI917516 UFB917515:UFE917516 UOX917515:UPA917516 UYT917515:UYW917516 VIP917515:VIS917516 VSL917515:VSO917516 WCH917515:WCK917516 WMD917515:WMG917516 WVZ917515:WWC917516 R983051:U983052 JN983051:JQ983052 TJ983051:TM983052 ADF983051:ADI983052 ANB983051:ANE983052 AWX983051:AXA983052 BGT983051:BGW983052 BQP983051:BQS983052 CAL983051:CAO983052 CKH983051:CKK983052 CUD983051:CUG983052 DDZ983051:DEC983052 DNV983051:DNY983052 DXR983051:DXU983052 EHN983051:EHQ983052 ERJ983051:ERM983052 FBF983051:FBI983052 FLB983051:FLE983052 FUX983051:FVA983052 GET983051:GEW983052 GOP983051:GOS983052 GYL983051:GYO983052 HIH983051:HIK983052 HSD983051:HSG983052 IBZ983051:ICC983052 ILV983051:ILY983052 IVR983051:IVU983052 JFN983051:JFQ983052 JPJ983051:JPM983052 JZF983051:JZI983052 KJB983051:KJE983052 KSX983051:KTA983052 LCT983051:LCW983052 LMP983051:LMS983052 LWL983051:LWO983052 MGH983051:MGK983052 MQD983051:MQG983052 MZZ983051:NAC983052 NJV983051:NJY983052 NTR983051:NTU983052 ODN983051:ODQ983052 ONJ983051:ONM983052 OXF983051:OXI983052 PHB983051:PHE983052 PQX983051:PRA983052 QAT983051:QAW983052 QKP983051:QKS983052 QUL983051:QUO983052 REH983051:REK983052 ROD983051:ROG983052 RXZ983051:RYC983052 SHV983051:SHY983052 SRR983051:SRU983052 TBN983051:TBQ983052 TLJ983051:TLM983052 TVF983051:TVI983052 UFB983051:UFE983052 UOX983051:UPA983052 UYT983051:UYW983052 VIP983051:VIS983052 VSL983051:VSO983052 WCH983051:WCK983052 WMD983051:WMG983052 WVZ983051:WWC983052 R56:U59 JN56:JQ59 TJ56:TM59 ADF56:ADI59 ANB56:ANE59 AWX56:AXA59 BGT56:BGW59 BQP56:BQS59 CAL56:CAO59 CKH56:CKK59 CUD56:CUG59 DDZ56:DEC59 DNV56:DNY59 DXR56:DXU59 EHN56:EHQ59 ERJ56:ERM59 FBF56:FBI59 FLB56:FLE59 FUX56:FVA59 GET56:GEW59 GOP56:GOS59 GYL56:GYO59 HIH56:HIK59 HSD56:HSG59 IBZ56:ICC59 ILV56:ILY59 IVR56:IVU59 JFN56:JFQ59 JPJ56:JPM59 JZF56:JZI59 KJB56:KJE59 KSX56:KTA59 LCT56:LCW59 LMP56:LMS59 LWL56:LWO59 MGH56:MGK59 MQD56:MQG59 MZZ56:NAC59 NJV56:NJY59 NTR56:NTU59 ODN56:ODQ59 ONJ56:ONM59 OXF56:OXI59 PHB56:PHE59 PQX56:PRA59 QAT56:QAW59 QKP56:QKS59 QUL56:QUO59 REH56:REK59 ROD56:ROG59 RXZ56:RYC59 SHV56:SHY59 SRR56:SRU59 TBN56:TBQ59 TLJ56:TLM59 TVF56:TVI59 UFB56:UFE59 UOX56:UPA59 UYT56:UYW59 VIP56:VIS59 VSL56:VSO59 WCH56:WCK59 WMD56:WMG59 WVZ56:WWC59 R65592:U65595 JN65592:JQ65595 TJ65592:TM65595 ADF65592:ADI65595 ANB65592:ANE65595 AWX65592:AXA65595 BGT65592:BGW65595 BQP65592:BQS65595 CAL65592:CAO65595 CKH65592:CKK65595 CUD65592:CUG65595 DDZ65592:DEC65595 DNV65592:DNY65595 DXR65592:DXU65595 EHN65592:EHQ65595 ERJ65592:ERM65595 FBF65592:FBI65595 FLB65592:FLE65595 FUX65592:FVA65595 GET65592:GEW65595 GOP65592:GOS65595 GYL65592:GYO65595 HIH65592:HIK65595 HSD65592:HSG65595 IBZ65592:ICC65595 ILV65592:ILY65595 IVR65592:IVU65595 JFN65592:JFQ65595 JPJ65592:JPM65595 JZF65592:JZI65595 KJB65592:KJE65595 KSX65592:KTA65595 LCT65592:LCW65595 LMP65592:LMS65595 LWL65592:LWO65595 MGH65592:MGK65595 MQD65592:MQG65595 MZZ65592:NAC65595 NJV65592:NJY65595 NTR65592:NTU65595 ODN65592:ODQ65595 ONJ65592:ONM65595 OXF65592:OXI65595 PHB65592:PHE65595 PQX65592:PRA65595 QAT65592:QAW65595 QKP65592:QKS65595 QUL65592:QUO65595 REH65592:REK65595 ROD65592:ROG65595 RXZ65592:RYC65595 SHV65592:SHY65595 SRR65592:SRU65595 TBN65592:TBQ65595 TLJ65592:TLM65595 TVF65592:TVI65595 UFB65592:UFE65595 UOX65592:UPA65595 UYT65592:UYW65595 VIP65592:VIS65595 VSL65592:VSO65595 WCH65592:WCK65595 WMD65592:WMG65595 WVZ65592:WWC65595 R131128:U131131 JN131128:JQ131131 TJ131128:TM131131 ADF131128:ADI131131 ANB131128:ANE131131 AWX131128:AXA131131 BGT131128:BGW131131 BQP131128:BQS131131 CAL131128:CAO131131 CKH131128:CKK131131 CUD131128:CUG131131 DDZ131128:DEC131131 DNV131128:DNY131131 DXR131128:DXU131131 EHN131128:EHQ131131 ERJ131128:ERM131131 FBF131128:FBI131131 FLB131128:FLE131131 FUX131128:FVA131131 GET131128:GEW131131 GOP131128:GOS131131 GYL131128:GYO131131 HIH131128:HIK131131 HSD131128:HSG131131 IBZ131128:ICC131131 ILV131128:ILY131131 IVR131128:IVU131131 JFN131128:JFQ131131 JPJ131128:JPM131131 JZF131128:JZI131131 KJB131128:KJE131131 KSX131128:KTA131131 LCT131128:LCW131131 LMP131128:LMS131131 LWL131128:LWO131131 MGH131128:MGK131131 MQD131128:MQG131131 MZZ131128:NAC131131 NJV131128:NJY131131 NTR131128:NTU131131 ODN131128:ODQ131131 ONJ131128:ONM131131 OXF131128:OXI131131 PHB131128:PHE131131 PQX131128:PRA131131 QAT131128:QAW131131 QKP131128:QKS131131 QUL131128:QUO131131 REH131128:REK131131 ROD131128:ROG131131 RXZ131128:RYC131131 SHV131128:SHY131131 SRR131128:SRU131131 TBN131128:TBQ131131 TLJ131128:TLM131131 TVF131128:TVI131131 UFB131128:UFE131131 UOX131128:UPA131131 UYT131128:UYW131131 VIP131128:VIS131131 VSL131128:VSO131131 WCH131128:WCK131131 WMD131128:WMG131131 WVZ131128:WWC131131 R196664:U196667 JN196664:JQ196667 TJ196664:TM196667 ADF196664:ADI196667 ANB196664:ANE196667 AWX196664:AXA196667 BGT196664:BGW196667 BQP196664:BQS196667 CAL196664:CAO196667 CKH196664:CKK196667 CUD196664:CUG196667 DDZ196664:DEC196667 DNV196664:DNY196667 DXR196664:DXU196667 EHN196664:EHQ196667 ERJ196664:ERM196667 FBF196664:FBI196667 FLB196664:FLE196667 FUX196664:FVA196667 GET196664:GEW196667 GOP196664:GOS196667 GYL196664:GYO196667 HIH196664:HIK196667 HSD196664:HSG196667 IBZ196664:ICC196667 ILV196664:ILY196667 IVR196664:IVU196667 JFN196664:JFQ196667 JPJ196664:JPM196667 JZF196664:JZI196667 KJB196664:KJE196667 KSX196664:KTA196667 LCT196664:LCW196667 LMP196664:LMS196667 LWL196664:LWO196667 MGH196664:MGK196667 MQD196664:MQG196667 MZZ196664:NAC196667 NJV196664:NJY196667 NTR196664:NTU196667 ODN196664:ODQ196667 ONJ196664:ONM196667 OXF196664:OXI196667 PHB196664:PHE196667 PQX196664:PRA196667 QAT196664:QAW196667 QKP196664:QKS196667 QUL196664:QUO196667 REH196664:REK196667 ROD196664:ROG196667 RXZ196664:RYC196667 SHV196664:SHY196667 SRR196664:SRU196667 TBN196664:TBQ196667 TLJ196664:TLM196667 TVF196664:TVI196667 UFB196664:UFE196667 UOX196664:UPA196667 UYT196664:UYW196667 VIP196664:VIS196667 VSL196664:VSO196667 WCH196664:WCK196667 WMD196664:WMG196667 WVZ196664:WWC196667 R262200:U262203 JN262200:JQ262203 TJ262200:TM262203 ADF262200:ADI262203 ANB262200:ANE262203 AWX262200:AXA262203 BGT262200:BGW262203 BQP262200:BQS262203 CAL262200:CAO262203 CKH262200:CKK262203 CUD262200:CUG262203 DDZ262200:DEC262203 DNV262200:DNY262203 DXR262200:DXU262203 EHN262200:EHQ262203 ERJ262200:ERM262203 FBF262200:FBI262203 FLB262200:FLE262203 FUX262200:FVA262203 GET262200:GEW262203 GOP262200:GOS262203 GYL262200:GYO262203 HIH262200:HIK262203 HSD262200:HSG262203 IBZ262200:ICC262203 ILV262200:ILY262203 IVR262200:IVU262203 JFN262200:JFQ262203 JPJ262200:JPM262203 JZF262200:JZI262203 KJB262200:KJE262203 KSX262200:KTA262203 LCT262200:LCW262203 LMP262200:LMS262203 LWL262200:LWO262203 MGH262200:MGK262203 MQD262200:MQG262203 MZZ262200:NAC262203 NJV262200:NJY262203 NTR262200:NTU262203 ODN262200:ODQ262203 ONJ262200:ONM262203 OXF262200:OXI262203 PHB262200:PHE262203 PQX262200:PRA262203 QAT262200:QAW262203 QKP262200:QKS262203 QUL262200:QUO262203 REH262200:REK262203 ROD262200:ROG262203 RXZ262200:RYC262203 SHV262200:SHY262203 SRR262200:SRU262203 TBN262200:TBQ262203 TLJ262200:TLM262203 TVF262200:TVI262203 UFB262200:UFE262203 UOX262200:UPA262203 UYT262200:UYW262203 VIP262200:VIS262203 VSL262200:VSO262203 WCH262200:WCK262203 WMD262200:WMG262203 WVZ262200:WWC262203 R327736:U327739 JN327736:JQ327739 TJ327736:TM327739 ADF327736:ADI327739 ANB327736:ANE327739 AWX327736:AXA327739 BGT327736:BGW327739 BQP327736:BQS327739 CAL327736:CAO327739 CKH327736:CKK327739 CUD327736:CUG327739 DDZ327736:DEC327739 DNV327736:DNY327739 DXR327736:DXU327739 EHN327736:EHQ327739 ERJ327736:ERM327739 FBF327736:FBI327739 FLB327736:FLE327739 FUX327736:FVA327739 GET327736:GEW327739 GOP327736:GOS327739 GYL327736:GYO327739 HIH327736:HIK327739 HSD327736:HSG327739 IBZ327736:ICC327739 ILV327736:ILY327739 IVR327736:IVU327739 JFN327736:JFQ327739 JPJ327736:JPM327739 JZF327736:JZI327739 KJB327736:KJE327739 KSX327736:KTA327739 LCT327736:LCW327739 LMP327736:LMS327739 LWL327736:LWO327739 MGH327736:MGK327739 MQD327736:MQG327739 MZZ327736:NAC327739 NJV327736:NJY327739 NTR327736:NTU327739 ODN327736:ODQ327739 ONJ327736:ONM327739 OXF327736:OXI327739 PHB327736:PHE327739 PQX327736:PRA327739 QAT327736:QAW327739 QKP327736:QKS327739 QUL327736:QUO327739 REH327736:REK327739 ROD327736:ROG327739 RXZ327736:RYC327739 SHV327736:SHY327739 SRR327736:SRU327739 TBN327736:TBQ327739 TLJ327736:TLM327739 TVF327736:TVI327739 UFB327736:UFE327739 UOX327736:UPA327739 UYT327736:UYW327739 VIP327736:VIS327739 VSL327736:VSO327739 WCH327736:WCK327739 WMD327736:WMG327739 WVZ327736:WWC327739 R393272:U393275 JN393272:JQ393275 TJ393272:TM393275 ADF393272:ADI393275 ANB393272:ANE393275 AWX393272:AXA393275 BGT393272:BGW393275 BQP393272:BQS393275 CAL393272:CAO393275 CKH393272:CKK393275 CUD393272:CUG393275 DDZ393272:DEC393275 DNV393272:DNY393275 DXR393272:DXU393275 EHN393272:EHQ393275 ERJ393272:ERM393275 FBF393272:FBI393275 FLB393272:FLE393275 FUX393272:FVA393275 GET393272:GEW393275 GOP393272:GOS393275 GYL393272:GYO393275 HIH393272:HIK393275 HSD393272:HSG393275 IBZ393272:ICC393275 ILV393272:ILY393275 IVR393272:IVU393275 JFN393272:JFQ393275 JPJ393272:JPM393275 JZF393272:JZI393275 KJB393272:KJE393275 KSX393272:KTA393275 LCT393272:LCW393275 LMP393272:LMS393275 LWL393272:LWO393275 MGH393272:MGK393275 MQD393272:MQG393275 MZZ393272:NAC393275 NJV393272:NJY393275 NTR393272:NTU393275 ODN393272:ODQ393275 ONJ393272:ONM393275 OXF393272:OXI393275 PHB393272:PHE393275 PQX393272:PRA393275 QAT393272:QAW393275 QKP393272:QKS393275 QUL393272:QUO393275 REH393272:REK393275 ROD393272:ROG393275 RXZ393272:RYC393275 SHV393272:SHY393275 SRR393272:SRU393275 TBN393272:TBQ393275 TLJ393272:TLM393275 TVF393272:TVI393275 UFB393272:UFE393275 UOX393272:UPA393275 UYT393272:UYW393275 VIP393272:VIS393275 VSL393272:VSO393275 WCH393272:WCK393275 WMD393272:WMG393275 WVZ393272:WWC393275 R458808:U458811 JN458808:JQ458811 TJ458808:TM458811 ADF458808:ADI458811 ANB458808:ANE458811 AWX458808:AXA458811 BGT458808:BGW458811 BQP458808:BQS458811 CAL458808:CAO458811 CKH458808:CKK458811 CUD458808:CUG458811 DDZ458808:DEC458811 DNV458808:DNY458811 DXR458808:DXU458811 EHN458808:EHQ458811 ERJ458808:ERM458811 FBF458808:FBI458811 FLB458808:FLE458811 FUX458808:FVA458811 GET458808:GEW458811 GOP458808:GOS458811 GYL458808:GYO458811 HIH458808:HIK458811 HSD458808:HSG458811 IBZ458808:ICC458811 ILV458808:ILY458811 IVR458808:IVU458811 JFN458808:JFQ458811 JPJ458808:JPM458811 JZF458808:JZI458811 KJB458808:KJE458811 KSX458808:KTA458811 LCT458808:LCW458811 LMP458808:LMS458811 LWL458808:LWO458811 MGH458808:MGK458811 MQD458808:MQG458811 MZZ458808:NAC458811 NJV458808:NJY458811 NTR458808:NTU458811 ODN458808:ODQ458811 ONJ458808:ONM458811 OXF458808:OXI458811 PHB458808:PHE458811 PQX458808:PRA458811 QAT458808:QAW458811 QKP458808:QKS458811 QUL458808:QUO458811 REH458808:REK458811 ROD458808:ROG458811 RXZ458808:RYC458811 SHV458808:SHY458811 SRR458808:SRU458811 TBN458808:TBQ458811 TLJ458808:TLM458811 TVF458808:TVI458811 UFB458808:UFE458811 UOX458808:UPA458811 UYT458808:UYW458811 VIP458808:VIS458811 VSL458808:VSO458811 WCH458808:WCK458811 WMD458808:WMG458811 WVZ458808:WWC458811 R524344:U524347 JN524344:JQ524347 TJ524344:TM524347 ADF524344:ADI524347 ANB524344:ANE524347 AWX524344:AXA524347 BGT524344:BGW524347 BQP524344:BQS524347 CAL524344:CAO524347 CKH524344:CKK524347 CUD524344:CUG524347 DDZ524344:DEC524347 DNV524344:DNY524347 DXR524344:DXU524347 EHN524344:EHQ524347 ERJ524344:ERM524347 FBF524344:FBI524347 FLB524344:FLE524347 FUX524344:FVA524347 GET524344:GEW524347 GOP524344:GOS524347 GYL524344:GYO524347 HIH524344:HIK524347 HSD524344:HSG524347 IBZ524344:ICC524347 ILV524344:ILY524347 IVR524344:IVU524347 JFN524344:JFQ524347 JPJ524344:JPM524347 JZF524344:JZI524347 KJB524344:KJE524347 KSX524344:KTA524347 LCT524344:LCW524347 LMP524344:LMS524347 LWL524344:LWO524347 MGH524344:MGK524347 MQD524344:MQG524347 MZZ524344:NAC524347 NJV524344:NJY524347 NTR524344:NTU524347 ODN524344:ODQ524347 ONJ524344:ONM524347 OXF524344:OXI524347 PHB524344:PHE524347 PQX524344:PRA524347 QAT524344:QAW524347 QKP524344:QKS524347 QUL524344:QUO524347 REH524344:REK524347 ROD524344:ROG524347 RXZ524344:RYC524347 SHV524344:SHY524347 SRR524344:SRU524347 TBN524344:TBQ524347 TLJ524344:TLM524347 TVF524344:TVI524347 UFB524344:UFE524347 UOX524344:UPA524347 UYT524344:UYW524347 VIP524344:VIS524347 VSL524344:VSO524347 WCH524344:WCK524347 WMD524344:WMG524347 WVZ524344:WWC524347 R589880:U589883 JN589880:JQ589883 TJ589880:TM589883 ADF589880:ADI589883 ANB589880:ANE589883 AWX589880:AXA589883 BGT589880:BGW589883 BQP589880:BQS589883 CAL589880:CAO589883 CKH589880:CKK589883 CUD589880:CUG589883 DDZ589880:DEC589883 DNV589880:DNY589883 DXR589880:DXU589883 EHN589880:EHQ589883 ERJ589880:ERM589883 FBF589880:FBI589883 FLB589880:FLE589883 FUX589880:FVA589883 GET589880:GEW589883 GOP589880:GOS589883 GYL589880:GYO589883 HIH589880:HIK589883 HSD589880:HSG589883 IBZ589880:ICC589883 ILV589880:ILY589883 IVR589880:IVU589883 JFN589880:JFQ589883 JPJ589880:JPM589883 JZF589880:JZI589883 KJB589880:KJE589883 KSX589880:KTA589883 LCT589880:LCW589883 LMP589880:LMS589883 LWL589880:LWO589883 MGH589880:MGK589883 MQD589880:MQG589883 MZZ589880:NAC589883 NJV589880:NJY589883 NTR589880:NTU589883 ODN589880:ODQ589883 ONJ589880:ONM589883 OXF589880:OXI589883 PHB589880:PHE589883 PQX589880:PRA589883 QAT589880:QAW589883 QKP589880:QKS589883 QUL589880:QUO589883 REH589880:REK589883 ROD589880:ROG589883 RXZ589880:RYC589883 SHV589880:SHY589883 SRR589880:SRU589883 TBN589880:TBQ589883 TLJ589880:TLM589883 TVF589880:TVI589883 UFB589880:UFE589883 UOX589880:UPA589883 UYT589880:UYW589883 VIP589880:VIS589883 VSL589880:VSO589883 WCH589880:WCK589883 WMD589880:WMG589883 WVZ589880:WWC589883 R655416:U655419 JN655416:JQ655419 TJ655416:TM655419 ADF655416:ADI655419 ANB655416:ANE655419 AWX655416:AXA655419 BGT655416:BGW655419 BQP655416:BQS655419 CAL655416:CAO655419 CKH655416:CKK655419 CUD655416:CUG655419 DDZ655416:DEC655419 DNV655416:DNY655419 DXR655416:DXU655419 EHN655416:EHQ655419 ERJ655416:ERM655419 FBF655416:FBI655419 FLB655416:FLE655419 FUX655416:FVA655419 GET655416:GEW655419 GOP655416:GOS655419 GYL655416:GYO655419 HIH655416:HIK655419 HSD655416:HSG655419 IBZ655416:ICC655419 ILV655416:ILY655419 IVR655416:IVU655419 JFN655416:JFQ655419 JPJ655416:JPM655419 JZF655416:JZI655419 KJB655416:KJE655419 KSX655416:KTA655419 LCT655416:LCW655419 LMP655416:LMS655419 LWL655416:LWO655419 MGH655416:MGK655419 MQD655416:MQG655419 MZZ655416:NAC655419 NJV655416:NJY655419 NTR655416:NTU655419 ODN655416:ODQ655419 ONJ655416:ONM655419 OXF655416:OXI655419 PHB655416:PHE655419 PQX655416:PRA655419 QAT655416:QAW655419 QKP655416:QKS655419 QUL655416:QUO655419 REH655416:REK655419 ROD655416:ROG655419 RXZ655416:RYC655419 SHV655416:SHY655419 SRR655416:SRU655419 TBN655416:TBQ655419 TLJ655416:TLM655419 TVF655416:TVI655419 UFB655416:UFE655419 UOX655416:UPA655419 UYT655416:UYW655419 VIP655416:VIS655419 VSL655416:VSO655419 WCH655416:WCK655419 WMD655416:WMG655419 WVZ655416:WWC655419 R720952:U720955 JN720952:JQ720955 TJ720952:TM720955 ADF720952:ADI720955 ANB720952:ANE720955 AWX720952:AXA720955 BGT720952:BGW720955 BQP720952:BQS720955 CAL720952:CAO720955 CKH720952:CKK720955 CUD720952:CUG720955 DDZ720952:DEC720955 DNV720952:DNY720955 DXR720952:DXU720955 EHN720952:EHQ720955 ERJ720952:ERM720955 FBF720952:FBI720955 FLB720952:FLE720955 FUX720952:FVA720955 GET720952:GEW720955 GOP720952:GOS720955 GYL720952:GYO720955 HIH720952:HIK720955 HSD720952:HSG720955 IBZ720952:ICC720955 ILV720952:ILY720955 IVR720952:IVU720955 JFN720952:JFQ720955 JPJ720952:JPM720955 JZF720952:JZI720955 KJB720952:KJE720955 KSX720952:KTA720955 LCT720952:LCW720955 LMP720952:LMS720955 LWL720952:LWO720955 MGH720952:MGK720955 MQD720952:MQG720955 MZZ720952:NAC720955 NJV720952:NJY720955 NTR720952:NTU720955 ODN720952:ODQ720955 ONJ720952:ONM720955 OXF720952:OXI720955 PHB720952:PHE720955 PQX720952:PRA720955 QAT720952:QAW720955 QKP720952:QKS720955 QUL720952:QUO720955 REH720952:REK720955 ROD720952:ROG720955 RXZ720952:RYC720955 SHV720952:SHY720955 SRR720952:SRU720955 TBN720952:TBQ720955 TLJ720952:TLM720955 TVF720952:TVI720955 UFB720952:UFE720955 UOX720952:UPA720955 UYT720952:UYW720955 VIP720952:VIS720955 VSL720952:VSO720955 WCH720952:WCK720955 WMD720952:WMG720955 WVZ720952:WWC720955 R786488:U786491 JN786488:JQ786491 TJ786488:TM786491 ADF786488:ADI786491 ANB786488:ANE786491 AWX786488:AXA786491 BGT786488:BGW786491 BQP786488:BQS786491 CAL786488:CAO786491 CKH786488:CKK786491 CUD786488:CUG786491 DDZ786488:DEC786491 DNV786488:DNY786491 DXR786488:DXU786491 EHN786488:EHQ786491 ERJ786488:ERM786491 FBF786488:FBI786491 FLB786488:FLE786491 FUX786488:FVA786491 GET786488:GEW786491 GOP786488:GOS786491 GYL786488:GYO786491 HIH786488:HIK786491 HSD786488:HSG786491 IBZ786488:ICC786491 ILV786488:ILY786491 IVR786488:IVU786491 JFN786488:JFQ786491 JPJ786488:JPM786491 JZF786488:JZI786491 KJB786488:KJE786491 KSX786488:KTA786491 LCT786488:LCW786491 LMP786488:LMS786491 LWL786488:LWO786491 MGH786488:MGK786491 MQD786488:MQG786491 MZZ786488:NAC786491 NJV786488:NJY786491 NTR786488:NTU786491 ODN786488:ODQ786491 ONJ786488:ONM786491 OXF786488:OXI786491 PHB786488:PHE786491 PQX786488:PRA786491 QAT786488:QAW786491 QKP786488:QKS786491 QUL786488:QUO786491 REH786488:REK786491 ROD786488:ROG786491 RXZ786488:RYC786491 SHV786488:SHY786491 SRR786488:SRU786491 TBN786488:TBQ786491 TLJ786488:TLM786491 TVF786488:TVI786491 UFB786488:UFE786491 UOX786488:UPA786491 UYT786488:UYW786491 VIP786488:VIS786491 VSL786488:VSO786491 WCH786488:WCK786491 WMD786488:WMG786491 WVZ786488:WWC786491 R852024:U852027 JN852024:JQ852027 TJ852024:TM852027 ADF852024:ADI852027 ANB852024:ANE852027 AWX852024:AXA852027 BGT852024:BGW852027 BQP852024:BQS852027 CAL852024:CAO852027 CKH852024:CKK852027 CUD852024:CUG852027 DDZ852024:DEC852027 DNV852024:DNY852027 DXR852024:DXU852027 EHN852024:EHQ852027 ERJ852024:ERM852027 FBF852024:FBI852027 FLB852024:FLE852027 FUX852024:FVA852027 GET852024:GEW852027 GOP852024:GOS852027 GYL852024:GYO852027 HIH852024:HIK852027 HSD852024:HSG852027 IBZ852024:ICC852027 ILV852024:ILY852027 IVR852024:IVU852027 JFN852024:JFQ852027 JPJ852024:JPM852027 JZF852024:JZI852027 KJB852024:KJE852027 KSX852024:KTA852027 LCT852024:LCW852027 LMP852024:LMS852027 LWL852024:LWO852027 MGH852024:MGK852027 MQD852024:MQG852027 MZZ852024:NAC852027 NJV852024:NJY852027 NTR852024:NTU852027 ODN852024:ODQ852027 ONJ852024:ONM852027 OXF852024:OXI852027 PHB852024:PHE852027 PQX852024:PRA852027 QAT852024:QAW852027 QKP852024:QKS852027 QUL852024:QUO852027 REH852024:REK852027 ROD852024:ROG852027 RXZ852024:RYC852027 SHV852024:SHY852027 SRR852024:SRU852027 TBN852024:TBQ852027 TLJ852024:TLM852027 TVF852024:TVI852027 UFB852024:UFE852027 UOX852024:UPA852027 UYT852024:UYW852027 VIP852024:VIS852027 VSL852024:VSO852027 WCH852024:WCK852027 WMD852024:WMG852027 WVZ852024:WWC852027 R917560:U917563 JN917560:JQ917563 TJ917560:TM917563 ADF917560:ADI917563 ANB917560:ANE917563 AWX917560:AXA917563 BGT917560:BGW917563 BQP917560:BQS917563 CAL917560:CAO917563 CKH917560:CKK917563 CUD917560:CUG917563 DDZ917560:DEC917563 DNV917560:DNY917563 DXR917560:DXU917563 EHN917560:EHQ917563 ERJ917560:ERM917563 FBF917560:FBI917563 FLB917560:FLE917563 FUX917560:FVA917563 GET917560:GEW917563 GOP917560:GOS917563 GYL917560:GYO917563 HIH917560:HIK917563 HSD917560:HSG917563 IBZ917560:ICC917563 ILV917560:ILY917563 IVR917560:IVU917563 JFN917560:JFQ917563 JPJ917560:JPM917563 JZF917560:JZI917563 KJB917560:KJE917563 KSX917560:KTA917563 LCT917560:LCW917563 LMP917560:LMS917563 LWL917560:LWO917563 MGH917560:MGK917563 MQD917560:MQG917563 MZZ917560:NAC917563 NJV917560:NJY917563 NTR917560:NTU917563 ODN917560:ODQ917563 ONJ917560:ONM917563 OXF917560:OXI917563 PHB917560:PHE917563 PQX917560:PRA917563 QAT917560:QAW917563 QKP917560:QKS917563 QUL917560:QUO917563 REH917560:REK917563 ROD917560:ROG917563 RXZ917560:RYC917563 SHV917560:SHY917563 SRR917560:SRU917563 TBN917560:TBQ917563 TLJ917560:TLM917563 TVF917560:TVI917563 UFB917560:UFE917563 UOX917560:UPA917563 UYT917560:UYW917563 VIP917560:VIS917563 VSL917560:VSO917563 WCH917560:WCK917563 WMD917560:WMG917563 WVZ917560:WWC917563 R983096:U983099 JN983096:JQ983099 TJ983096:TM983099 ADF983096:ADI983099 ANB983096:ANE983099 AWX983096:AXA983099 BGT983096:BGW983099 BQP983096:BQS983099 CAL983096:CAO983099 CKH983096:CKK983099 CUD983096:CUG983099 DDZ983096:DEC983099 DNV983096:DNY983099 DXR983096:DXU983099 EHN983096:EHQ983099 ERJ983096:ERM983099 FBF983096:FBI983099 FLB983096:FLE983099 FUX983096:FVA983099 GET983096:GEW983099 GOP983096:GOS983099 GYL983096:GYO983099 HIH983096:HIK983099 HSD983096:HSG983099 IBZ983096:ICC983099 ILV983096:ILY983099 IVR983096:IVU983099 JFN983096:JFQ983099 JPJ983096:JPM983099 JZF983096:JZI983099 KJB983096:KJE983099 KSX983096:KTA983099 LCT983096:LCW983099 LMP983096:LMS983099 LWL983096:LWO983099 MGH983096:MGK983099 MQD983096:MQG983099 MZZ983096:NAC983099 NJV983096:NJY983099 NTR983096:NTU983099 ODN983096:ODQ983099 ONJ983096:ONM983099 OXF983096:OXI983099 PHB983096:PHE983099 PQX983096:PRA983099 QAT983096:QAW983099 QKP983096:QKS983099 QUL983096:QUO983099 REH983096:REK983099 ROD983096:ROG983099 RXZ983096:RYC983099 SHV983096:SHY983099 SRR983096:SRU983099 TBN983096:TBQ983099 TLJ983096:TLM983099 TVF983096:TVI983099 UFB983096:UFE983099 UOX983096:UPA983099 UYT983096:UYW983099 VIP983096:VIS983099 VSL983096:VSO983099 WCH983096:WCK983099 WMD983096:WMG983099 WVZ983096:WWC983099 H28:K28 JD28:JG28 SZ28:TC28 ACV28:ACY28 AMR28:AMU28 AWN28:AWQ28 BGJ28:BGM28 BQF28:BQI28 CAB28:CAE28 CJX28:CKA28 CTT28:CTW28 DDP28:DDS28 DNL28:DNO28 DXH28:DXK28 EHD28:EHG28 EQZ28:ERC28 FAV28:FAY28 FKR28:FKU28 FUN28:FUQ28 GEJ28:GEM28 GOF28:GOI28 GYB28:GYE28 HHX28:HIA28 HRT28:HRW28 IBP28:IBS28 ILL28:ILO28 IVH28:IVK28 JFD28:JFG28 JOZ28:JPC28 JYV28:JYY28 KIR28:KIU28 KSN28:KSQ28 LCJ28:LCM28 LMF28:LMI28 LWB28:LWE28 MFX28:MGA28 MPT28:MPW28 MZP28:MZS28 NJL28:NJO28 NTH28:NTK28 ODD28:ODG28 OMZ28:ONC28 OWV28:OWY28 PGR28:PGU28 PQN28:PQQ28 QAJ28:QAM28 QKF28:QKI28 QUB28:QUE28 RDX28:REA28 RNT28:RNW28 RXP28:RXS28 SHL28:SHO28 SRH28:SRK28 TBD28:TBG28 TKZ28:TLC28 TUV28:TUY28 UER28:UEU28 UON28:UOQ28 UYJ28:UYM28 VIF28:VII28 VSB28:VSE28 WBX28:WCA28 WLT28:WLW28 WVP28:WVS28 H65564:K65564 JD65564:JG65564 SZ65564:TC65564 ACV65564:ACY65564 AMR65564:AMU65564 AWN65564:AWQ65564 BGJ65564:BGM65564 BQF65564:BQI65564 CAB65564:CAE65564 CJX65564:CKA65564 CTT65564:CTW65564 DDP65564:DDS65564 DNL65564:DNO65564 DXH65564:DXK65564 EHD65564:EHG65564 EQZ65564:ERC65564 FAV65564:FAY65564 FKR65564:FKU65564 FUN65564:FUQ65564 GEJ65564:GEM65564 GOF65564:GOI65564 GYB65564:GYE65564 HHX65564:HIA65564 HRT65564:HRW65564 IBP65564:IBS65564 ILL65564:ILO65564 IVH65564:IVK65564 JFD65564:JFG65564 JOZ65564:JPC65564 JYV65564:JYY65564 KIR65564:KIU65564 KSN65564:KSQ65564 LCJ65564:LCM65564 LMF65564:LMI65564 LWB65564:LWE65564 MFX65564:MGA65564 MPT65564:MPW65564 MZP65564:MZS65564 NJL65564:NJO65564 NTH65564:NTK65564 ODD65564:ODG65564 OMZ65564:ONC65564 OWV65564:OWY65564 PGR65564:PGU65564 PQN65564:PQQ65564 QAJ65564:QAM65564 QKF65564:QKI65564 QUB65564:QUE65564 RDX65564:REA65564 RNT65564:RNW65564 RXP65564:RXS65564 SHL65564:SHO65564 SRH65564:SRK65564 TBD65564:TBG65564 TKZ65564:TLC65564 TUV65564:TUY65564 UER65564:UEU65564 UON65564:UOQ65564 UYJ65564:UYM65564 VIF65564:VII65564 VSB65564:VSE65564 WBX65564:WCA65564 WLT65564:WLW65564 WVP65564:WVS65564 H131100:K131100 JD131100:JG131100 SZ131100:TC131100 ACV131100:ACY131100 AMR131100:AMU131100 AWN131100:AWQ131100 BGJ131100:BGM131100 BQF131100:BQI131100 CAB131100:CAE131100 CJX131100:CKA131100 CTT131100:CTW131100 DDP131100:DDS131100 DNL131100:DNO131100 DXH131100:DXK131100 EHD131100:EHG131100 EQZ131100:ERC131100 FAV131100:FAY131100 FKR131100:FKU131100 FUN131100:FUQ131100 GEJ131100:GEM131100 GOF131100:GOI131100 GYB131100:GYE131100 HHX131100:HIA131100 HRT131100:HRW131100 IBP131100:IBS131100 ILL131100:ILO131100 IVH131100:IVK131100 JFD131100:JFG131100 JOZ131100:JPC131100 JYV131100:JYY131100 KIR131100:KIU131100 KSN131100:KSQ131100 LCJ131100:LCM131100 LMF131100:LMI131100 LWB131100:LWE131100 MFX131100:MGA131100 MPT131100:MPW131100 MZP131100:MZS131100 NJL131100:NJO131100 NTH131100:NTK131100 ODD131100:ODG131100 OMZ131100:ONC131100 OWV131100:OWY131100 PGR131100:PGU131100 PQN131100:PQQ131100 QAJ131100:QAM131100 QKF131100:QKI131100 QUB131100:QUE131100 RDX131100:REA131100 RNT131100:RNW131100 RXP131100:RXS131100 SHL131100:SHO131100 SRH131100:SRK131100 TBD131100:TBG131100 TKZ131100:TLC131100 TUV131100:TUY131100 UER131100:UEU131100 UON131100:UOQ131100 UYJ131100:UYM131100 VIF131100:VII131100 VSB131100:VSE131100 WBX131100:WCA131100 WLT131100:WLW131100 WVP131100:WVS131100 H196636:K196636 JD196636:JG196636 SZ196636:TC196636 ACV196636:ACY196636 AMR196636:AMU196636 AWN196636:AWQ196636 BGJ196636:BGM196636 BQF196636:BQI196636 CAB196636:CAE196636 CJX196636:CKA196636 CTT196636:CTW196636 DDP196636:DDS196636 DNL196636:DNO196636 DXH196636:DXK196636 EHD196636:EHG196636 EQZ196636:ERC196636 FAV196636:FAY196636 FKR196636:FKU196636 FUN196636:FUQ196636 GEJ196636:GEM196636 GOF196636:GOI196636 GYB196636:GYE196636 HHX196636:HIA196636 HRT196636:HRW196636 IBP196636:IBS196636 ILL196636:ILO196636 IVH196636:IVK196636 JFD196636:JFG196636 JOZ196636:JPC196636 JYV196636:JYY196636 KIR196636:KIU196636 KSN196636:KSQ196636 LCJ196636:LCM196636 LMF196636:LMI196636 LWB196636:LWE196636 MFX196636:MGA196636 MPT196636:MPW196636 MZP196636:MZS196636 NJL196636:NJO196636 NTH196636:NTK196636 ODD196636:ODG196636 OMZ196636:ONC196636 OWV196636:OWY196636 PGR196636:PGU196636 PQN196636:PQQ196636 QAJ196636:QAM196636 QKF196636:QKI196636 QUB196636:QUE196636 RDX196636:REA196636 RNT196636:RNW196636 RXP196636:RXS196636 SHL196636:SHO196636 SRH196636:SRK196636 TBD196636:TBG196636 TKZ196636:TLC196636 TUV196636:TUY196636 UER196636:UEU196636 UON196636:UOQ196636 UYJ196636:UYM196636 VIF196636:VII196636 VSB196636:VSE196636 WBX196636:WCA196636 WLT196636:WLW196636 WVP196636:WVS196636 H262172:K262172 JD262172:JG262172 SZ262172:TC262172 ACV262172:ACY262172 AMR262172:AMU262172 AWN262172:AWQ262172 BGJ262172:BGM262172 BQF262172:BQI262172 CAB262172:CAE262172 CJX262172:CKA262172 CTT262172:CTW262172 DDP262172:DDS262172 DNL262172:DNO262172 DXH262172:DXK262172 EHD262172:EHG262172 EQZ262172:ERC262172 FAV262172:FAY262172 FKR262172:FKU262172 FUN262172:FUQ262172 GEJ262172:GEM262172 GOF262172:GOI262172 GYB262172:GYE262172 HHX262172:HIA262172 HRT262172:HRW262172 IBP262172:IBS262172 ILL262172:ILO262172 IVH262172:IVK262172 JFD262172:JFG262172 JOZ262172:JPC262172 JYV262172:JYY262172 KIR262172:KIU262172 KSN262172:KSQ262172 LCJ262172:LCM262172 LMF262172:LMI262172 LWB262172:LWE262172 MFX262172:MGA262172 MPT262172:MPW262172 MZP262172:MZS262172 NJL262172:NJO262172 NTH262172:NTK262172 ODD262172:ODG262172 OMZ262172:ONC262172 OWV262172:OWY262172 PGR262172:PGU262172 PQN262172:PQQ262172 QAJ262172:QAM262172 QKF262172:QKI262172 QUB262172:QUE262172 RDX262172:REA262172 RNT262172:RNW262172 RXP262172:RXS262172 SHL262172:SHO262172 SRH262172:SRK262172 TBD262172:TBG262172 TKZ262172:TLC262172 TUV262172:TUY262172 UER262172:UEU262172 UON262172:UOQ262172 UYJ262172:UYM262172 VIF262172:VII262172 VSB262172:VSE262172 WBX262172:WCA262172 WLT262172:WLW262172 WVP262172:WVS262172 H327708:K327708 JD327708:JG327708 SZ327708:TC327708 ACV327708:ACY327708 AMR327708:AMU327708 AWN327708:AWQ327708 BGJ327708:BGM327708 BQF327708:BQI327708 CAB327708:CAE327708 CJX327708:CKA327708 CTT327708:CTW327708 DDP327708:DDS327708 DNL327708:DNO327708 DXH327708:DXK327708 EHD327708:EHG327708 EQZ327708:ERC327708 FAV327708:FAY327708 FKR327708:FKU327708 FUN327708:FUQ327708 GEJ327708:GEM327708 GOF327708:GOI327708 GYB327708:GYE327708 HHX327708:HIA327708 HRT327708:HRW327708 IBP327708:IBS327708 ILL327708:ILO327708 IVH327708:IVK327708 JFD327708:JFG327708 JOZ327708:JPC327708 JYV327708:JYY327708 KIR327708:KIU327708 KSN327708:KSQ327708 LCJ327708:LCM327708 LMF327708:LMI327708 LWB327708:LWE327708 MFX327708:MGA327708 MPT327708:MPW327708 MZP327708:MZS327708 NJL327708:NJO327708 NTH327708:NTK327708 ODD327708:ODG327708 OMZ327708:ONC327708 OWV327708:OWY327708 PGR327708:PGU327708 PQN327708:PQQ327708 QAJ327708:QAM327708 QKF327708:QKI327708 QUB327708:QUE327708 RDX327708:REA327708 RNT327708:RNW327708 RXP327708:RXS327708 SHL327708:SHO327708 SRH327708:SRK327708 TBD327708:TBG327708 TKZ327708:TLC327708 TUV327708:TUY327708 UER327708:UEU327708 UON327708:UOQ327708 UYJ327708:UYM327708 VIF327708:VII327708 VSB327708:VSE327708 WBX327708:WCA327708 WLT327708:WLW327708 WVP327708:WVS327708 H393244:K393244 JD393244:JG393244 SZ393244:TC393244 ACV393244:ACY393244 AMR393244:AMU393244 AWN393244:AWQ393244 BGJ393244:BGM393244 BQF393244:BQI393244 CAB393244:CAE393244 CJX393244:CKA393244 CTT393244:CTW393244 DDP393244:DDS393244 DNL393244:DNO393244 DXH393244:DXK393244 EHD393244:EHG393244 EQZ393244:ERC393244 FAV393244:FAY393244 FKR393244:FKU393244 FUN393244:FUQ393244 GEJ393244:GEM393244 GOF393244:GOI393244 GYB393244:GYE393244 HHX393244:HIA393244 HRT393244:HRW393244 IBP393244:IBS393244 ILL393244:ILO393244 IVH393244:IVK393244 JFD393244:JFG393244 JOZ393244:JPC393244 JYV393244:JYY393244 KIR393244:KIU393244 KSN393244:KSQ393244 LCJ393244:LCM393244 LMF393244:LMI393244 LWB393244:LWE393244 MFX393244:MGA393244 MPT393244:MPW393244 MZP393244:MZS393244 NJL393244:NJO393244 NTH393244:NTK393244 ODD393244:ODG393244 OMZ393244:ONC393244 OWV393244:OWY393244 PGR393244:PGU393244 PQN393244:PQQ393244 QAJ393244:QAM393244 QKF393244:QKI393244 QUB393244:QUE393244 RDX393244:REA393244 RNT393244:RNW393244 RXP393244:RXS393244 SHL393244:SHO393244 SRH393244:SRK393244 TBD393244:TBG393244 TKZ393244:TLC393244 TUV393244:TUY393244 UER393244:UEU393244 UON393244:UOQ393244 UYJ393244:UYM393244 VIF393244:VII393244 VSB393244:VSE393244 WBX393244:WCA393244 WLT393244:WLW393244 WVP393244:WVS393244 H458780:K458780 JD458780:JG458780 SZ458780:TC458780 ACV458780:ACY458780 AMR458780:AMU458780 AWN458780:AWQ458780 BGJ458780:BGM458780 BQF458780:BQI458780 CAB458780:CAE458780 CJX458780:CKA458780 CTT458780:CTW458780 DDP458780:DDS458780 DNL458780:DNO458780 DXH458780:DXK458780 EHD458780:EHG458780 EQZ458780:ERC458780 FAV458780:FAY458780 FKR458780:FKU458780 FUN458780:FUQ458780 GEJ458780:GEM458780 GOF458780:GOI458780 GYB458780:GYE458780 HHX458780:HIA458780 HRT458780:HRW458780 IBP458780:IBS458780 ILL458780:ILO458780 IVH458780:IVK458780 JFD458780:JFG458780 JOZ458780:JPC458780 JYV458780:JYY458780 KIR458780:KIU458780 KSN458780:KSQ458780 LCJ458780:LCM458780 LMF458780:LMI458780 LWB458780:LWE458780 MFX458780:MGA458780 MPT458780:MPW458780 MZP458780:MZS458780 NJL458780:NJO458780 NTH458780:NTK458780 ODD458780:ODG458780 OMZ458780:ONC458780 OWV458780:OWY458780 PGR458780:PGU458780 PQN458780:PQQ458780 QAJ458780:QAM458780 QKF458780:QKI458780 QUB458780:QUE458780 RDX458780:REA458780 RNT458780:RNW458780 RXP458780:RXS458780 SHL458780:SHO458780 SRH458780:SRK458780 TBD458780:TBG458780 TKZ458780:TLC458780 TUV458780:TUY458780 UER458780:UEU458780 UON458780:UOQ458780 UYJ458780:UYM458780 VIF458780:VII458780 VSB458780:VSE458780 WBX458780:WCA458780 WLT458780:WLW458780 WVP458780:WVS458780 H524316:K524316 JD524316:JG524316 SZ524316:TC524316 ACV524316:ACY524316 AMR524316:AMU524316 AWN524316:AWQ524316 BGJ524316:BGM524316 BQF524316:BQI524316 CAB524316:CAE524316 CJX524316:CKA524316 CTT524316:CTW524316 DDP524316:DDS524316 DNL524316:DNO524316 DXH524316:DXK524316 EHD524316:EHG524316 EQZ524316:ERC524316 FAV524316:FAY524316 FKR524316:FKU524316 FUN524316:FUQ524316 GEJ524316:GEM524316 GOF524316:GOI524316 GYB524316:GYE524316 HHX524316:HIA524316 HRT524316:HRW524316 IBP524316:IBS524316 ILL524316:ILO524316 IVH524316:IVK524316 JFD524316:JFG524316 JOZ524316:JPC524316 JYV524316:JYY524316 KIR524316:KIU524316 KSN524316:KSQ524316 LCJ524316:LCM524316 LMF524316:LMI524316 LWB524316:LWE524316 MFX524316:MGA524316 MPT524316:MPW524316 MZP524316:MZS524316 NJL524316:NJO524316 NTH524316:NTK524316 ODD524316:ODG524316 OMZ524316:ONC524316 OWV524316:OWY524316 PGR524316:PGU524316 PQN524316:PQQ524316 QAJ524316:QAM524316 QKF524316:QKI524316 QUB524316:QUE524316 RDX524316:REA524316 RNT524316:RNW524316 RXP524316:RXS524316 SHL524316:SHO524316 SRH524316:SRK524316 TBD524316:TBG524316 TKZ524316:TLC524316 TUV524316:TUY524316 UER524316:UEU524316 UON524316:UOQ524316 UYJ524316:UYM524316 VIF524316:VII524316 VSB524316:VSE524316 WBX524316:WCA524316 WLT524316:WLW524316 WVP524316:WVS524316 H589852:K589852 JD589852:JG589852 SZ589852:TC589852 ACV589852:ACY589852 AMR589852:AMU589852 AWN589852:AWQ589852 BGJ589852:BGM589852 BQF589852:BQI589852 CAB589852:CAE589852 CJX589852:CKA589852 CTT589852:CTW589852 DDP589852:DDS589852 DNL589852:DNO589852 DXH589852:DXK589852 EHD589852:EHG589852 EQZ589852:ERC589852 FAV589852:FAY589852 FKR589852:FKU589852 FUN589852:FUQ589852 GEJ589852:GEM589852 GOF589852:GOI589852 GYB589852:GYE589852 HHX589852:HIA589852 HRT589852:HRW589852 IBP589852:IBS589852 ILL589852:ILO589852 IVH589852:IVK589852 JFD589852:JFG589852 JOZ589852:JPC589852 JYV589852:JYY589852 KIR589852:KIU589852 KSN589852:KSQ589852 LCJ589852:LCM589852 LMF589852:LMI589852 LWB589852:LWE589852 MFX589852:MGA589852 MPT589852:MPW589852 MZP589852:MZS589852 NJL589852:NJO589852 NTH589852:NTK589852 ODD589852:ODG589852 OMZ589852:ONC589852 OWV589852:OWY589852 PGR589852:PGU589852 PQN589852:PQQ589852 QAJ589852:QAM589852 QKF589852:QKI589852 QUB589852:QUE589852 RDX589852:REA589852 RNT589852:RNW589852 RXP589852:RXS589852 SHL589852:SHO589852 SRH589852:SRK589852 TBD589852:TBG589852 TKZ589852:TLC589852 TUV589852:TUY589852 UER589852:UEU589852 UON589852:UOQ589852 UYJ589852:UYM589852 VIF589852:VII589852 VSB589852:VSE589852 WBX589852:WCA589852 WLT589852:WLW589852 WVP589852:WVS589852 H655388:K655388 JD655388:JG655388 SZ655388:TC655388 ACV655388:ACY655388 AMR655388:AMU655388 AWN655388:AWQ655388 BGJ655388:BGM655388 BQF655388:BQI655388 CAB655388:CAE655388 CJX655388:CKA655388 CTT655388:CTW655388 DDP655388:DDS655388 DNL655388:DNO655388 DXH655388:DXK655388 EHD655388:EHG655388 EQZ655388:ERC655388 FAV655388:FAY655388 FKR655388:FKU655388 FUN655388:FUQ655388 GEJ655388:GEM655388 GOF655388:GOI655388 GYB655388:GYE655388 HHX655388:HIA655388 HRT655388:HRW655388 IBP655388:IBS655388 ILL655388:ILO655388 IVH655388:IVK655388 JFD655388:JFG655388 JOZ655388:JPC655388 JYV655388:JYY655388 KIR655388:KIU655388 KSN655388:KSQ655388 LCJ655388:LCM655388 LMF655388:LMI655388 LWB655388:LWE655388 MFX655388:MGA655388 MPT655388:MPW655388 MZP655388:MZS655388 NJL655388:NJO655388 NTH655388:NTK655388 ODD655388:ODG655388 OMZ655388:ONC655388 OWV655388:OWY655388 PGR655388:PGU655388 PQN655388:PQQ655388 QAJ655388:QAM655388 QKF655388:QKI655388 QUB655388:QUE655388 RDX655388:REA655388 RNT655388:RNW655388 RXP655388:RXS655388 SHL655388:SHO655388 SRH655388:SRK655388 TBD655388:TBG655388 TKZ655388:TLC655388 TUV655388:TUY655388 UER655388:UEU655388 UON655388:UOQ655388 UYJ655388:UYM655388 VIF655388:VII655388 VSB655388:VSE655388 WBX655388:WCA655388 WLT655388:WLW655388 WVP655388:WVS655388 H720924:K720924 JD720924:JG720924 SZ720924:TC720924 ACV720924:ACY720924 AMR720924:AMU720924 AWN720924:AWQ720924 BGJ720924:BGM720924 BQF720924:BQI720924 CAB720924:CAE720924 CJX720924:CKA720924 CTT720924:CTW720924 DDP720924:DDS720924 DNL720924:DNO720924 DXH720924:DXK720924 EHD720924:EHG720924 EQZ720924:ERC720924 FAV720924:FAY720924 FKR720924:FKU720924 FUN720924:FUQ720924 GEJ720924:GEM720924 GOF720924:GOI720924 GYB720924:GYE720924 HHX720924:HIA720924 HRT720924:HRW720924 IBP720924:IBS720924 ILL720924:ILO720924 IVH720924:IVK720924 JFD720924:JFG720924 JOZ720924:JPC720924 JYV720924:JYY720924 KIR720924:KIU720924 KSN720924:KSQ720924 LCJ720924:LCM720924 LMF720924:LMI720924 LWB720924:LWE720924 MFX720924:MGA720924 MPT720924:MPW720924 MZP720924:MZS720924 NJL720924:NJO720924 NTH720924:NTK720924 ODD720924:ODG720924 OMZ720924:ONC720924 OWV720924:OWY720924 PGR720924:PGU720924 PQN720924:PQQ720924 QAJ720924:QAM720924 QKF720924:QKI720924 QUB720924:QUE720924 RDX720924:REA720924 RNT720924:RNW720924 RXP720924:RXS720924 SHL720924:SHO720924 SRH720924:SRK720924 TBD720924:TBG720924 TKZ720924:TLC720924 TUV720924:TUY720924 UER720924:UEU720924 UON720924:UOQ720924 UYJ720924:UYM720924 VIF720924:VII720924 VSB720924:VSE720924 WBX720924:WCA720924 WLT720924:WLW720924 WVP720924:WVS720924 H786460:K786460 JD786460:JG786460 SZ786460:TC786460 ACV786460:ACY786460 AMR786460:AMU786460 AWN786460:AWQ786460 BGJ786460:BGM786460 BQF786460:BQI786460 CAB786460:CAE786460 CJX786460:CKA786460 CTT786460:CTW786460 DDP786460:DDS786460 DNL786460:DNO786460 DXH786460:DXK786460 EHD786460:EHG786460 EQZ786460:ERC786460 FAV786460:FAY786460 FKR786460:FKU786460 FUN786460:FUQ786460 GEJ786460:GEM786460 GOF786460:GOI786460 GYB786460:GYE786460 HHX786460:HIA786460 HRT786460:HRW786460 IBP786460:IBS786460 ILL786460:ILO786460 IVH786460:IVK786460 JFD786460:JFG786460 JOZ786460:JPC786460 JYV786460:JYY786460 KIR786460:KIU786460 KSN786460:KSQ786460 LCJ786460:LCM786460 LMF786460:LMI786460 LWB786460:LWE786460 MFX786460:MGA786460 MPT786460:MPW786460 MZP786460:MZS786460 NJL786460:NJO786460 NTH786460:NTK786460 ODD786460:ODG786460 OMZ786460:ONC786460 OWV786460:OWY786460 PGR786460:PGU786460 PQN786460:PQQ786460 QAJ786460:QAM786460 QKF786460:QKI786460 QUB786460:QUE786460 RDX786460:REA786460 RNT786460:RNW786460 RXP786460:RXS786460 SHL786460:SHO786460 SRH786460:SRK786460 TBD786460:TBG786460 TKZ786460:TLC786460 TUV786460:TUY786460 UER786460:UEU786460 UON786460:UOQ786460 UYJ786460:UYM786460 VIF786460:VII786460 VSB786460:VSE786460 WBX786460:WCA786460 WLT786460:WLW786460 WVP786460:WVS786460 H851996:K851996 JD851996:JG851996 SZ851996:TC851996 ACV851996:ACY851996 AMR851996:AMU851996 AWN851996:AWQ851996 BGJ851996:BGM851996 BQF851996:BQI851996 CAB851996:CAE851996 CJX851996:CKA851996 CTT851996:CTW851996 DDP851996:DDS851996 DNL851996:DNO851996 DXH851996:DXK851996 EHD851996:EHG851996 EQZ851996:ERC851996 FAV851996:FAY851996 FKR851996:FKU851996 FUN851996:FUQ851996 GEJ851996:GEM851996 GOF851996:GOI851996 GYB851996:GYE851996 HHX851996:HIA851996 HRT851996:HRW851996 IBP851996:IBS851996 ILL851996:ILO851996 IVH851996:IVK851996 JFD851996:JFG851996 JOZ851996:JPC851996 JYV851996:JYY851996 KIR851996:KIU851996 KSN851996:KSQ851996 LCJ851996:LCM851996 LMF851996:LMI851996 LWB851996:LWE851996 MFX851996:MGA851996 MPT851996:MPW851996 MZP851996:MZS851996 NJL851996:NJO851996 NTH851996:NTK851996 ODD851996:ODG851996 OMZ851996:ONC851996 OWV851996:OWY851996 PGR851996:PGU851996 PQN851996:PQQ851996 QAJ851996:QAM851996 QKF851996:QKI851996 QUB851996:QUE851996 RDX851996:REA851996 RNT851996:RNW851996 RXP851996:RXS851996 SHL851996:SHO851996 SRH851996:SRK851996 TBD851996:TBG851996 TKZ851996:TLC851996 TUV851996:TUY851996 UER851996:UEU851996 UON851996:UOQ851996 UYJ851996:UYM851996 VIF851996:VII851996 VSB851996:VSE851996 WBX851996:WCA851996 WLT851996:WLW851996 WVP851996:WVS851996 H917532:K917532 JD917532:JG917532 SZ917532:TC917532 ACV917532:ACY917532 AMR917532:AMU917532 AWN917532:AWQ917532 BGJ917532:BGM917532 BQF917532:BQI917532 CAB917532:CAE917532 CJX917532:CKA917532 CTT917532:CTW917532 DDP917532:DDS917532 DNL917532:DNO917532 DXH917532:DXK917532 EHD917532:EHG917532 EQZ917532:ERC917532 FAV917532:FAY917532 FKR917532:FKU917532 FUN917532:FUQ917532 GEJ917532:GEM917532 GOF917532:GOI917532 GYB917532:GYE917532 HHX917532:HIA917532 HRT917532:HRW917532 IBP917532:IBS917532 ILL917532:ILO917532 IVH917532:IVK917532 JFD917532:JFG917532 JOZ917532:JPC917532 JYV917532:JYY917532 KIR917532:KIU917532 KSN917532:KSQ917532 LCJ917532:LCM917532 LMF917532:LMI917532 LWB917532:LWE917532 MFX917532:MGA917532 MPT917532:MPW917532 MZP917532:MZS917532 NJL917532:NJO917532 NTH917532:NTK917532 ODD917532:ODG917532 OMZ917532:ONC917532 OWV917532:OWY917532 PGR917532:PGU917532 PQN917532:PQQ917532 QAJ917532:QAM917532 QKF917532:QKI917532 QUB917532:QUE917532 RDX917532:REA917532 RNT917532:RNW917532 RXP917532:RXS917532 SHL917532:SHO917532 SRH917532:SRK917532 TBD917532:TBG917532 TKZ917532:TLC917532 TUV917532:TUY917532 UER917532:UEU917532 UON917532:UOQ917532 UYJ917532:UYM917532 VIF917532:VII917532 VSB917532:VSE917532 WBX917532:WCA917532 WLT917532:WLW917532 WVP917532:WVS917532 H983068:K983068 JD983068:JG983068 SZ983068:TC983068 ACV983068:ACY983068 AMR983068:AMU983068 AWN983068:AWQ983068 BGJ983068:BGM983068 BQF983068:BQI983068 CAB983068:CAE983068 CJX983068:CKA983068 CTT983068:CTW983068 DDP983068:DDS983068 DNL983068:DNO983068 DXH983068:DXK983068 EHD983068:EHG983068 EQZ983068:ERC983068 FAV983068:FAY983068 FKR983068:FKU983068 FUN983068:FUQ983068 GEJ983068:GEM983068 GOF983068:GOI983068 GYB983068:GYE983068 HHX983068:HIA983068 HRT983068:HRW983068 IBP983068:IBS983068 ILL983068:ILO983068 IVH983068:IVK983068 JFD983068:JFG983068 JOZ983068:JPC983068 JYV983068:JYY983068 KIR983068:KIU983068 KSN983068:KSQ983068 LCJ983068:LCM983068 LMF983068:LMI983068 LWB983068:LWE983068 MFX983068:MGA983068 MPT983068:MPW983068 MZP983068:MZS983068 NJL983068:NJO983068 NTH983068:NTK983068 ODD983068:ODG983068 OMZ983068:ONC983068 OWV983068:OWY983068 PGR983068:PGU983068 PQN983068:PQQ983068 QAJ983068:QAM983068 QKF983068:QKI983068 QUB983068:QUE983068 RDX983068:REA983068 RNT983068:RNW983068 RXP983068:RXS983068 SHL983068:SHO983068 SRH983068:SRK983068 TBD983068:TBG983068 TKZ983068:TLC983068 TUV983068:TUY983068 UER983068:UEU983068 UON983068:UOQ983068 UYJ983068:UYM983068 VIF983068:VII983068 VSB983068:VSE983068 WBX983068:WCA983068 WLT983068:WLW983068 WVP983068:WVS983068 H72:K74 JD72:JG74 SZ72:TC74 ACV72:ACY74 AMR72:AMU74 AWN72:AWQ74 BGJ72:BGM74 BQF72:BQI74 CAB72:CAE74 CJX72:CKA74 CTT72:CTW74 DDP72:DDS74 DNL72:DNO74 DXH72:DXK74 EHD72:EHG74 EQZ72:ERC74 FAV72:FAY74 FKR72:FKU74 FUN72:FUQ74 GEJ72:GEM74 GOF72:GOI74 GYB72:GYE74 HHX72:HIA74 HRT72:HRW74 IBP72:IBS74 ILL72:ILO74 IVH72:IVK74 JFD72:JFG74 JOZ72:JPC74 JYV72:JYY74 KIR72:KIU74 KSN72:KSQ74 LCJ72:LCM74 LMF72:LMI74 LWB72:LWE74 MFX72:MGA74 MPT72:MPW74 MZP72:MZS74 NJL72:NJO74 NTH72:NTK74 ODD72:ODG74 OMZ72:ONC74 OWV72:OWY74 PGR72:PGU74 PQN72:PQQ74 QAJ72:QAM74 QKF72:QKI74 QUB72:QUE74 RDX72:REA74 RNT72:RNW74 RXP72:RXS74 SHL72:SHO74 SRH72:SRK74 TBD72:TBG74 TKZ72:TLC74 TUV72:TUY74 UER72:UEU74 UON72:UOQ74 UYJ72:UYM74 VIF72:VII74 VSB72:VSE74 WBX72:WCA74 WLT72:WLW74 WVP72:WVS74 H65608:K65610 JD65608:JG65610 SZ65608:TC65610 ACV65608:ACY65610 AMR65608:AMU65610 AWN65608:AWQ65610 BGJ65608:BGM65610 BQF65608:BQI65610 CAB65608:CAE65610 CJX65608:CKA65610 CTT65608:CTW65610 DDP65608:DDS65610 DNL65608:DNO65610 DXH65608:DXK65610 EHD65608:EHG65610 EQZ65608:ERC65610 FAV65608:FAY65610 FKR65608:FKU65610 FUN65608:FUQ65610 GEJ65608:GEM65610 GOF65608:GOI65610 GYB65608:GYE65610 HHX65608:HIA65610 HRT65608:HRW65610 IBP65608:IBS65610 ILL65608:ILO65610 IVH65608:IVK65610 JFD65608:JFG65610 JOZ65608:JPC65610 JYV65608:JYY65610 KIR65608:KIU65610 KSN65608:KSQ65610 LCJ65608:LCM65610 LMF65608:LMI65610 LWB65608:LWE65610 MFX65608:MGA65610 MPT65608:MPW65610 MZP65608:MZS65610 NJL65608:NJO65610 NTH65608:NTK65610 ODD65608:ODG65610 OMZ65608:ONC65610 OWV65608:OWY65610 PGR65608:PGU65610 PQN65608:PQQ65610 QAJ65608:QAM65610 QKF65608:QKI65610 QUB65608:QUE65610 RDX65608:REA65610 RNT65608:RNW65610 RXP65608:RXS65610 SHL65608:SHO65610 SRH65608:SRK65610 TBD65608:TBG65610 TKZ65608:TLC65610 TUV65608:TUY65610 UER65608:UEU65610 UON65608:UOQ65610 UYJ65608:UYM65610 VIF65608:VII65610 VSB65608:VSE65610 WBX65608:WCA65610 WLT65608:WLW65610 WVP65608:WVS65610 H131144:K131146 JD131144:JG131146 SZ131144:TC131146 ACV131144:ACY131146 AMR131144:AMU131146 AWN131144:AWQ131146 BGJ131144:BGM131146 BQF131144:BQI131146 CAB131144:CAE131146 CJX131144:CKA131146 CTT131144:CTW131146 DDP131144:DDS131146 DNL131144:DNO131146 DXH131144:DXK131146 EHD131144:EHG131146 EQZ131144:ERC131146 FAV131144:FAY131146 FKR131144:FKU131146 FUN131144:FUQ131146 GEJ131144:GEM131146 GOF131144:GOI131146 GYB131144:GYE131146 HHX131144:HIA131146 HRT131144:HRW131146 IBP131144:IBS131146 ILL131144:ILO131146 IVH131144:IVK131146 JFD131144:JFG131146 JOZ131144:JPC131146 JYV131144:JYY131146 KIR131144:KIU131146 KSN131144:KSQ131146 LCJ131144:LCM131146 LMF131144:LMI131146 LWB131144:LWE131146 MFX131144:MGA131146 MPT131144:MPW131146 MZP131144:MZS131146 NJL131144:NJO131146 NTH131144:NTK131146 ODD131144:ODG131146 OMZ131144:ONC131146 OWV131144:OWY131146 PGR131144:PGU131146 PQN131144:PQQ131146 QAJ131144:QAM131146 QKF131144:QKI131146 QUB131144:QUE131146 RDX131144:REA131146 RNT131144:RNW131146 RXP131144:RXS131146 SHL131144:SHO131146 SRH131144:SRK131146 TBD131144:TBG131146 TKZ131144:TLC131146 TUV131144:TUY131146 UER131144:UEU131146 UON131144:UOQ131146 UYJ131144:UYM131146 VIF131144:VII131146 VSB131144:VSE131146 WBX131144:WCA131146 WLT131144:WLW131146 WVP131144:WVS131146 H196680:K196682 JD196680:JG196682 SZ196680:TC196682 ACV196680:ACY196682 AMR196680:AMU196682 AWN196680:AWQ196682 BGJ196680:BGM196682 BQF196680:BQI196682 CAB196680:CAE196682 CJX196680:CKA196682 CTT196680:CTW196682 DDP196680:DDS196682 DNL196680:DNO196682 DXH196680:DXK196682 EHD196680:EHG196682 EQZ196680:ERC196682 FAV196680:FAY196682 FKR196680:FKU196682 FUN196680:FUQ196682 GEJ196680:GEM196682 GOF196680:GOI196682 GYB196680:GYE196682 HHX196680:HIA196682 HRT196680:HRW196682 IBP196680:IBS196682 ILL196680:ILO196682 IVH196680:IVK196682 JFD196680:JFG196682 JOZ196680:JPC196682 JYV196680:JYY196682 KIR196680:KIU196682 KSN196680:KSQ196682 LCJ196680:LCM196682 LMF196680:LMI196682 LWB196680:LWE196682 MFX196680:MGA196682 MPT196680:MPW196682 MZP196680:MZS196682 NJL196680:NJO196682 NTH196680:NTK196682 ODD196680:ODG196682 OMZ196680:ONC196682 OWV196680:OWY196682 PGR196680:PGU196682 PQN196680:PQQ196682 QAJ196680:QAM196682 QKF196680:QKI196682 QUB196680:QUE196682 RDX196680:REA196682 RNT196680:RNW196682 RXP196680:RXS196682 SHL196680:SHO196682 SRH196680:SRK196682 TBD196680:TBG196682 TKZ196680:TLC196682 TUV196680:TUY196682 UER196680:UEU196682 UON196680:UOQ196682 UYJ196680:UYM196682 VIF196680:VII196682 VSB196680:VSE196682 WBX196680:WCA196682 WLT196680:WLW196682 WVP196680:WVS196682 H262216:K262218 JD262216:JG262218 SZ262216:TC262218 ACV262216:ACY262218 AMR262216:AMU262218 AWN262216:AWQ262218 BGJ262216:BGM262218 BQF262216:BQI262218 CAB262216:CAE262218 CJX262216:CKA262218 CTT262216:CTW262218 DDP262216:DDS262218 DNL262216:DNO262218 DXH262216:DXK262218 EHD262216:EHG262218 EQZ262216:ERC262218 FAV262216:FAY262218 FKR262216:FKU262218 FUN262216:FUQ262218 GEJ262216:GEM262218 GOF262216:GOI262218 GYB262216:GYE262218 HHX262216:HIA262218 HRT262216:HRW262218 IBP262216:IBS262218 ILL262216:ILO262218 IVH262216:IVK262218 JFD262216:JFG262218 JOZ262216:JPC262218 JYV262216:JYY262218 KIR262216:KIU262218 KSN262216:KSQ262218 LCJ262216:LCM262218 LMF262216:LMI262218 LWB262216:LWE262218 MFX262216:MGA262218 MPT262216:MPW262218 MZP262216:MZS262218 NJL262216:NJO262218 NTH262216:NTK262218 ODD262216:ODG262218 OMZ262216:ONC262218 OWV262216:OWY262218 PGR262216:PGU262218 PQN262216:PQQ262218 QAJ262216:QAM262218 QKF262216:QKI262218 QUB262216:QUE262218 RDX262216:REA262218 RNT262216:RNW262218 RXP262216:RXS262218 SHL262216:SHO262218 SRH262216:SRK262218 TBD262216:TBG262218 TKZ262216:TLC262218 TUV262216:TUY262218 UER262216:UEU262218 UON262216:UOQ262218 UYJ262216:UYM262218 VIF262216:VII262218 VSB262216:VSE262218 WBX262216:WCA262218 WLT262216:WLW262218 WVP262216:WVS262218 H327752:K327754 JD327752:JG327754 SZ327752:TC327754 ACV327752:ACY327754 AMR327752:AMU327754 AWN327752:AWQ327754 BGJ327752:BGM327754 BQF327752:BQI327754 CAB327752:CAE327754 CJX327752:CKA327754 CTT327752:CTW327754 DDP327752:DDS327754 DNL327752:DNO327754 DXH327752:DXK327754 EHD327752:EHG327754 EQZ327752:ERC327754 FAV327752:FAY327754 FKR327752:FKU327754 FUN327752:FUQ327754 GEJ327752:GEM327754 GOF327752:GOI327754 GYB327752:GYE327754 HHX327752:HIA327754 HRT327752:HRW327754 IBP327752:IBS327754 ILL327752:ILO327754 IVH327752:IVK327754 JFD327752:JFG327754 JOZ327752:JPC327754 JYV327752:JYY327754 KIR327752:KIU327754 KSN327752:KSQ327754 LCJ327752:LCM327754 LMF327752:LMI327754 LWB327752:LWE327754 MFX327752:MGA327754 MPT327752:MPW327754 MZP327752:MZS327754 NJL327752:NJO327754 NTH327752:NTK327754 ODD327752:ODG327754 OMZ327752:ONC327754 OWV327752:OWY327754 PGR327752:PGU327754 PQN327752:PQQ327754 QAJ327752:QAM327754 QKF327752:QKI327754 QUB327752:QUE327754 RDX327752:REA327754 RNT327752:RNW327754 RXP327752:RXS327754 SHL327752:SHO327754 SRH327752:SRK327754 TBD327752:TBG327754 TKZ327752:TLC327754 TUV327752:TUY327754 UER327752:UEU327754 UON327752:UOQ327754 UYJ327752:UYM327754 VIF327752:VII327754 VSB327752:VSE327754 WBX327752:WCA327754 WLT327752:WLW327754 WVP327752:WVS327754 H393288:K393290 JD393288:JG393290 SZ393288:TC393290 ACV393288:ACY393290 AMR393288:AMU393290 AWN393288:AWQ393290 BGJ393288:BGM393290 BQF393288:BQI393290 CAB393288:CAE393290 CJX393288:CKA393290 CTT393288:CTW393290 DDP393288:DDS393290 DNL393288:DNO393290 DXH393288:DXK393290 EHD393288:EHG393290 EQZ393288:ERC393290 FAV393288:FAY393290 FKR393288:FKU393290 FUN393288:FUQ393290 GEJ393288:GEM393290 GOF393288:GOI393290 GYB393288:GYE393290 HHX393288:HIA393290 HRT393288:HRW393290 IBP393288:IBS393290 ILL393288:ILO393290 IVH393288:IVK393290 JFD393288:JFG393290 JOZ393288:JPC393290 JYV393288:JYY393290 KIR393288:KIU393290 KSN393288:KSQ393290 LCJ393288:LCM393290 LMF393288:LMI393290 LWB393288:LWE393290 MFX393288:MGA393290 MPT393288:MPW393290 MZP393288:MZS393290 NJL393288:NJO393290 NTH393288:NTK393290 ODD393288:ODG393290 OMZ393288:ONC393290 OWV393288:OWY393290 PGR393288:PGU393290 PQN393288:PQQ393290 QAJ393288:QAM393290 QKF393288:QKI393290 QUB393288:QUE393290 RDX393288:REA393290 RNT393288:RNW393290 RXP393288:RXS393290 SHL393288:SHO393290 SRH393288:SRK393290 TBD393288:TBG393290 TKZ393288:TLC393290 TUV393288:TUY393290 UER393288:UEU393290 UON393288:UOQ393290 UYJ393288:UYM393290 VIF393288:VII393290 VSB393288:VSE393290 WBX393288:WCA393290 WLT393288:WLW393290 WVP393288:WVS393290 H458824:K458826 JD458824:JG458826 SZ458824:TC458826 ACV458824:ACY458826 AMR458824:AMU458826 AWN458824:AWQ458826 BGJ458824:BGM458826 BQF458824:BQI458826 CAB458824:CAE458826 CJX458824:CKA458826 CTT458824:CTW458826 DDP458824:DDS458826 DNL458824:DNO458826 DXH458824:DXK458826 EHD458824:EHG458826 EQZ458824:ERC458826 FAV458824:FAY458826 FKR458824:FKU458826 FUN458824:FUQ458826 GEJ458824:GEM458826 GOF458824:GOI458826 GYB458824:GYE458826 HHX458824:HIA458826 HRT458824:HRW458826 IBP458824:IBS458826 ILL458824:ILO458826 IVH458824:IVK458826 JFD458824:JFG458826 JOZ458824:JPC458826 JYV458824:JYY458826 KIR458824:KIU458826 KSN458824:KSQ458826 LCJ458824:LCM458826 LMF458824:LMI458826 LWB458824:LWE458826 MFX458824:MGA458826 MPT458824:MPW458826 MZP458824:MZS458826 NJL458824:NJO458826 NTH458824:NTK458826 ODD458824:ODG458826 OMZ458824:ONC458826 OWV458824:OWY458826 PGR458824:PGU458826 PQN458824:PQQ458826 QAJ458824:QAM458826 QKF458824:QKI458826 QUB458824:QUE458826 RDX458824:REA458826 RNT458824:RNW458826 RXP458824:RXS458826 SHL458824:SHO458826 SRH458824:SRK458826 TBD458824:TBG458826 TKZ458824:TLC458826 TUV458824:TUY458826 UER458824:UEU458826 UON458824:UOQ458826 UYJ458824:UYM458826 VIF458824:VII458826 VSB458824:VSE458826 WBX458824:WCA458826 WLT458824:WLW458826 WVP458824:WVS458826 H524360:K524362 JD524360:JG524362 SZ524360:TC524362 ACV524360:ACY524362 AMR524360:AMU524362 AWN524360:AWQ524362 BGJ524360:BGM524362 BQF524360:BQI524362 CAB524360:CAE524362 CJX524360:CKA524362 CTT524360:CTW524362 DDP524360:DDS524362 DNL524360:DNO524362 DXH524360:DXK524362 EHD524360:EHG524362 EQZ524360:ERC524362 FAV524360:FAY524362 FKR524360:FKU524362 FUN524360:FUQ524362 GEJ524360:GEM524362 GOF524360:GOI524362 GYB524360:GYE524362 HHX524360:HIA524362 HRT524360:HRW524362 IBP524360:IBS524362 ILL524360:ILO524362 IVH524360:IVK524362 JFD524360:JFG524362 JOZ524360:JPC524362 JYV524360:JYY524362 KIR524360:KIU524362 KSN524360:KSQ524362 LCJ524360:LCM524362 LMF524360:LMI524362 LWB524360:LWE524362 MFX524360:MGA524362 MPT524360:MPW524362 MZP524360:MZS524362 NJL524360:NJO524362 NTH524360:NTK524362 ODD524360:ODG524362 OMZ524360:ONC524362 OWV524360:OWY524362 PGR524360:PGU524362 PQN524360:PQQ524362 QAJ524360:QAM524362 QKF524360:QKI524362 QUB524360:QUE524362 RDX524360:REA524362 RNT524360:RNW524362 RXP524360:RXS524362 SHL524360:SHO524362 SRH524360:SRK524362 TBD524360:TBG524362 TKZ524360:TLC524362 TUV524360:TUY524362 UER524360:UEU524362 UON524360:UOQ524362 UYJ524360:UYM524362 VIF524360:VII524362 VSB524360:VSE524362 WBX524360:WCA524362 WLT524360:WLW524362 WVP524360:WVS524362 H589896:K589898 JD589896:JG589898 SZ589896:TC589898 ACV589896:ACY589898 AMR589896:AMU589898 AWN589896:AWQ589898 BGJ589896:BGM589898 BQF589896:BQI589898 CAB589896:CAE589898 CJX589896:CKA589898 CTT589896:CTW589898 DDP589896:DDS589898 DNL589896:DNO589898 DXH589896:DXK589898 EHD589896:EHG589898 EQZ589896:ERC589898 FAV589896:FAY589898 FKR589896:FKU589898 FUN589896:FUQ589898 GEJ589896:GEM589898 GOF589896:GOI589898 GYB589896:GYE589898 HHX589896:HIA589898 HRT589896:HRW589898 IBP589896:IBS589898 ILL589896:ILO589898 IVH589896:IVK589898 JFD589896:JFG589898 JOZ589896:JPC589898 JYV589896:JYY589898 KIR589896:KIU589898 KSN589896:KSQ589898 LCJ589896:LCM589898 LMF589896:LMI589898 LWB589896:LWE589898 MFX589896:MGA589898 MPT589896:MPW589898 MZP589896:MZS589898 NJL589896:NJO589898 NTH589896:NTK589898 ODD589896:ODG589898 OMZ589896:ONC589898 OWV589896:OWY589898 PGR589896:PGU589898 PQN589896:PQQ589898 QAJ589896:QAM589898 QKF589896:QKI589898 QUB589896:QUE589898 RDX589896:REA589898 RNT589896:RNW589898 RXP589896:RXS589898 SHL589896:SHO589898 SRH589896:SRK589898 TBD589896:TBG589898 TKZ589896:TLC589898 TUV589896:TUY589898 UER589896:UEU589898 UON589896:UOQ589898 UYJ589896:UYM589898 VIF589896:VII589898 VSB589896:VSE589898 WBX589896:WCA589898 WLT589896:WLW589898 WVP589896:WVS589898 H655432:K655434 JD655432:JG655434 SZ655432:TC655434 ACV655432:ACY655434 AMR655432:AMU655434 AWN655432:AWQ655434 BGJ655432:BGM655434 BQF655432:BQI655434 CAB655432:CAE655434 CJX655432:CKA655434 CTT655432:CTW655434 DDP655432:DDS655434 DNL655432:DNO655434 DXH655432:DXK655434 EHD655432:EHG655434 EQZ655432:ERC655434 FAV655432:FAY655434 FKR655432:FKU655434 FUN655432:FUQ655434 GEJ655432:GEM655434 GOF655432:GOI655434 GYB655432:GYE655434 HHX655432:HIA655434 HRT655432:HRW655434 IBP655432:IBS655434 ILL655432:ILO655434 IVH655432:IVK655434 JFD655432:JFG655434 JOZ655432:JPC655434 JYV655432:JYY655434 KIR655432:KIU655434 KSN655432:KSQ655434 LCJ655432:LCM655434 LMF655432:LMI655434 LWB655432:LWE655434 MFX655432:MGA655434 MPT655432:MPW655434 MZP655432:MZS655434 NJL655432:NJO655434 NTH655432:NTK655434 ODD655432:ODG655434 OMZ655432:ONC655434 OWV655432:OWY655434 PGR655432:PGU655434 PQN655432:PQQ655434 QAJ655432:QAM655434 QKF655432:QKI655434 QUB655432:QUE655434 RDX655432:REA655434 RNT655432:RNW655434 RXP655432:RXS655434 SHL655432:SHO655434 SRH655432:SRK655434 TBD655432:TBG655434 TKZ655432:TLC655434 TUV655432:TUY655434 UER655432:UEU655434 UON655432:UOQ655434 UYJ655432:UYM655434 VIF655432:VII655434 VSB655432:VSE655434 WBX655432:WCA655434 WLT655432:WLW655434 WVP655432:WVS655434 H720968:K720970 JD720968:JG720970 SZ720968:TC720970 ACV720968:ACY720970 AMR720968:AMU720970 AWN720968:AWQ720970 BGJ720968:BGM720970 BQF720968:BQI720970 CAB720968:CAE720970 CJX720968:CKA720970 CTT720968:CTW720970 DDP720968:DDS720970 DNL720968:DNO720970 DXH720968:DXK720970 EHD720968:EHG720970 EQZ720968:ERC720970 FAV720968:FAY720970 FKR720968:FKU720970 FUN720968:FUQ720970 GEJ720968:GEM720970 GOF720968:GOI720970 GYB720968:GYE720970 HHX720968:HIA720970 HRT720968:HRW720970 IBP720968:IBS720970 ILL720968:ILO720970 IVH720968:IVK720970 JFD720968:JFG720970 JOZ720968:JPC720970 JYV720968:JYY720970 KIR720968:KIU720970 KSN720968:KSQ720970 LCJ720968:LCM720970 LMF720968:LMI720970 LWB720968:LWE720970 MFX720968:MGA720970 MPT720968:MPW720970 MZP720968:MZS720970 NJL720968:NJO720970 NTH720968:NTK720970 ODD720968:ODG720970 OMZ720968:ONC720970 OWV720968:OWY720970 PGR720968:PGU720970 PQN720968:PQQ720970 QAJ720968:QAM720970 QKF720968:QKI720970 QUB720968:QUE720970 RDX720968:REA720970 RNT720968:RNW720970 RXP720968:RXS720970 SHL720968:SHO720970 SRH720968:SRK720970 TBD720968:TBG720970 TKZ720968:TLC720970 TUV720968:TUY720970 UER720968:UEU720970 UON720968:UOQ720970 UYJ720968:UYM720970 VIF720968:VII720970 VSB720968:VSE720970 WBX720968:WCA720970 WLT720968:WLW720970 WVP720968:WVS720970 H786504:K786506 JD786504:JG786506 SZ786504:TC786506 ACV786504:ACY786506 AMR786504:AMU786506 AWN786504:AWQ786506 BGJ786504:BGM786506 BQF786504:BQI786506 CAB786504:CAE786506 CJX786504:CKA786506 CTT786504:CTW786506 DDP786504:DDS786506 DNL786504:DNO786506 DXH786504:DXK786506 EHD786504:EHG786506 EQZ786504:ERC786506 FAV786504:FAY786506 FKR786504:FKU786506 FUN786504:FUQ786506 GEJ786504:GEM786506 GOF786504:GOI786506 GYB786504:GYE786506 HHX786504:HIA786506 HRT786504:HRW786506 IBP786504:IBS786506 ILL786504:ILO786506 IVH786504:IVK786506 JFD786504:JFG786506 JOZ786504:JPC786506 JYV786504:JYY786506 KIR786504:KIU786506 KSN786504:KSQ786506 LCJ786504:LCM786506 LMF786504:LMI786506 LWB786504:LWE786506 MFX786504:MGA786506 MPT786504:MPW786506 MZP786504:MZS786506 NJL786504:NJO786506 NTH786504:NTK786506 ODD786504:ODG786506 OMZ786504:ONC786506 OWV786504:OWY786506 PGR786504:PGU786506 PQN786504:PQQ786506 QAJ786504:QAM786506 QKF786504:QKI786506 QUB786504:QUE786506 RDX786504:REA786506 RNT786504:RNW786506 RXP786504:RXS786506 SHL786504:SHO786506 SRH786504:SRK786506 TBD786504:TBG786506 TKZ786504:TLC786506 TUV786504:TUY786506 UER786504:UEU786506 UON786504:UOQ786506 UYJ786504:UYM786506 VIF786504:VII786506 VSB786504:VSE786506 WBX786504:WCA786506 WLT786504:WLW786506 WVP786504:WVS786506 H852040:K852042 JD852040:JG852042 SZ852040:TC852042 ACV852040:ACY852042 AMR852040:AMU852042 AWN852040:AWQ852042 BGJ852040:BGM852042 BQF852040:BQI852042 CAB852040:CAE852042 CJX852040:CKA852042 CTT852040:CTW852042 DDP852040:DDS852042 DNL852040:DNO852042 DXH852040:DXK852042 EHD852040:EHG852042 EQZ852040:ERC852042 FAV852040:FAY852042 FKR852040:FKU852042 FUN852040:FUQ852042 GEJ852040:GEM852042 GOF852040:GOI852042 GYB852040:GYE852042 HHX852040:HIA852042 HRT852040:HRW852042 IBP852040:IBS852042 ILL852040:ILO852042 IVH852040:IVK852042 JFD852040:JFG852042 JOZ852040:JPC852042 JYV852040:JYY852042 KIR852040:KIU852042 KSN852040:KSQ852042 LCJ852040:LCM852042 LMF852040:LMI852042 LWB852040:LWE852042 MFX852040:MGA852042 MPT852040:MPW852042 MZP852040:MZS852042 NJL852040:NJO852042 NTH852040:NTK852042 ODD852040:ODG852042 OMZ852040:ONC852042 OWV852040:OWY852042 PGR852040:PGU852042 PQN852040:PQQ852042 QAJ852040:QAM852042 QKF852040:QKI852042 QUB852040:QUE852042 RDX852040:REA852042 RNT852040:RNW852042 RXP852040:RXS852042 SHL852040:SHO852042 SRH852040:SRK852042 TBD852040:TBG852042 TKZ852040:TLC852042 TUV852040:TUY852042 UER852040:UEU852042 UON852040:UOQ852042 UYJ852040:UYM852042 VIF852040:VII852042 VSB852040:VSE852042 WBX852040:WCA852042 WLT852040:WLW852042 WVP852040:WVS852042 H917576:K917578 JD917576:JG917578 SZ917576:TC917578 ACV917576:ACY917578 AMR917576:AMU917578 AWN917576:AWQ917578 BGJ917576:BGM917578 BQF917576:BQI917578 CAB917576:CAE917578 CJX917576:CKA917578 CTT917576:CTW917578 DDP917576:DDS917578 DNL917576:DNO917578 DXH917576:DXK917578 EHD917576:EHG917578 EQZ917576:ERC917578 FAV917576:FAY917578 FKR917576:FKU917578 FUN917576:FUQ917578 GEJ917576:GEM917578 GOF917576:GOI917578 GYB917576:GYE917578 HHX917576:HIA917578 HRT917576:HRW917578 IBP917576:IBS917578 ILL917576:ILO917578 IVH917576:IVK917578 JFD917576:JFG917578 JOZ917576:JPC917578 JYV917576:JYY917578 KIR917576:KIU917578 KSN917576:KSQ917578 LCJ917576:LCM917578 LMF917576:LMI917578 LWB917576:LWE917578 MFX917576:MGA917578 MPT917576:MPW917578 MZP917576:MZS917578 NJL917576:NJO917578 NTH917576:NTK917578 ODD917576:ODG917578 OMZ917576:ONC917578 OWV917576:OWY917578 PGR917576:PGU917578 PQN917576:PQQ917578 QAJ917576:QAM917578 QKF917576:QKI917578 QUB917576:QUE917578 RDX917576:REA917578 RNT917576:RNW917578 RXP917576:RXS917578 SHL917576:SHO917578 SRH917576:SRK917578 TBD917576:TBG917578 TKZ917576:TLC917578 TUV917576:TUY917578 UER917576:UEU917578 UON917576:UOQ917578 UYJ917576:UYM917578 VIF917576:VII917578 VSB917576:VSE917578 WBX917576:WCA917578 WLT917576:WLW917578 WVP917576:WVS917578 H983112:K983114 JD983112:JG983114 SZ983112:TC983114 ACV983112:ACY983114 AMR983112:AMU983114 AWN983112:AWQ983114 BGJ983112:BGM983114 BQF983112:BQI983114 CAB983112:CAE983114 CJX983112:CKA983114 CTT983112:CTW983114 DDP983112:DDS983114 DNL983112:DNO983114 DXH983112:DXK983114 EHD983112:EHG983114 EQZ983112:ERC983114 FAV983112:FAY983114 FKR983112:FKU983114 FUN983112:FUQ983114 GEJ983112:GEM983114 GOF983112:GOI983114 GYB983112:GYE983114 HHX983112:HIA983114 HRT983112:HRW983114 IBP983112:IBS983114 ILL983112:ILO983114 IVH983112:IVK983114 JFD983112:JFG983114 JOZ983112:JPC983114 JYV983112:JYY983114 KIR983112:KIU983114 KSN983112:KSQ983114 LCJ983112:LCM983114 LMF983112:LMI983114 LWB983112:LWE983114 MFX983112:MGA983114 MPT983112:MPW983114 MZP983112:MZS983114 NJL983112:NJO983114 NTH983112:NTK983114 ODD983112:ODG983114 OMZ983112:ONC983114 OWV983112:OWY983114 PGR983112:PGU983114 PQN983112:PQQ983114 QAJ983112:QAM983114 QKF983112:QKI983114 QUB983112:QUE983114 RDX983112:REA983114 RNT983112:RNW983114 RXP983112:RXS983114 SHL983112:SHO983114 SRH983112:SRK983114 TBD983112:TBG983114 TKZ983112:TLC983114 TUV983112:TUY983114 UER983112:UEU983114 UON983112:UOQ983114 UYJ983112:UYM983114 VIF983112:VII983114 VSB983112:VSE983114 WBX983112:WCA983114 WLT983112:WLW983114 WVP983112:WVS983114 R33:U53 JN33:JQ53 TJ33:TM53 ADF33:ADI53 ANB33:ANE53 AWX33:AXA53 BGT33:BGW53 BQP33:BQS53 CAL33:CAO53 CKH33:CKK53 CUD33:CUG53 DDZ33:DEC53 DNV33:DNY53 DXR33:DXU53 EHN33:EHQ53 ERJ33:ERM53 FBF33:FBI53 FLB33:FLE53 FUX33:FVA53 GET33:GEW53 GOP33:GOS53 GYL33:GYO53 HIH33:HIK53 HSD33:HSG53 IBZ33:ICC53 ILV33:ILY53 IVR33:IVU53 JFN33:JFQ53 JPJ33:JPM53 JZF33:JZI53 KJB33:KJE53 KSX33:KTA53 LCT33:LCW53 LMP33:LMS53 LWL33:LWO53 MGH33:MGK53 MQD33:MQG53 MZZ33:NAC53 NJV33:NJY53 NTR33:NTU53 ODN33:ODQ53 ONJ33:ONM53 OXF33:OXI53 PHB33:PHE53 PQX33:PRA53 QAT33:QAW53 QKP33:QKS53 QUL33:QUO53 REH33:REK53 ROD33:ROG53 RXZ33:RYC53 SHV33:SHY53 SRR33:SRU53 TBN33:TBQ53 TLJ33:TLM53 TVF33:TVI53 UFB33:UFE53 UOX33:UPA53 UYT33:UYW53 VIP33:VIS53 VSL33:VSO53 WCH33:WCK53 WMD33:WMG53 WVZ33:WWC53 R65569:U65589 JN65569:JQ65589 TJ65569:TM65589 ADF65569:ADI65589 ANB65569:ANE65589 AWX65569:AXA65589 BGT65569:BGW65589 BQP65569:BQS65589 CAL65569:CAO65589 CKH65569:CKK65589 CUD65569:CUG65589 DDZ65569:DEC65589 DNV65569:DNY65589 DXR65569:DXU65589 EHN65569:EHQ65589 ERJ65569:ERM65589 FBF65569:FBI65589 FLB65569:FLE65589 FUX65569:FVA65589 GET65569:GEW65589 GOP65569:GOS65589 GYL65569:GYO65589 HIH65569:HIK65589 HSD65569:HSG65589 IBZ65569:ICC65589 ILV65569:ILY65589 IVR65569:IVU65589 JFN65569:JFQ65589 JPJ65569:JPM65589 JZF65569:JZI65589 KJB65569:KJE65589 KSX65569:KTA65589 LCT65569:LCW65589 LMP65569:LMS65589 LWL65569:LWO65589 MGH65569:MGK65589 MQD65569:MQG65589 MZZ65569:NAC65589 NJV65569:NJY65589 NTR65569:NTU65589 ODN65569:ODQ65589 ONJ65569:ONM65589 OXF65569:OXI65589 PHB65569:PHE65589 PQX65569:PRA65589 QAT65569:QAW65589 QKP65569:QKS65589 QUL65569:QUO65589 REH65569:REK65589 ROD65569:ROG65589 RXZ65569:RYC65589 SHV65569:SHY65589 SRR65569:SRU65589 TBN65569:TBQ65589 TLJ65569:TLM65589 TVF65569:TVI65589 UFB65569:UFE65589 UOX65569:UPA65589 UYT65569:UYW65589 VIP65569:VIS65589 VSL65569:VSO65589 WCH65569:WCK65589 WMD65569:WMG65589 WVZ65569:WWC65589 R131105:U131125 JN131105:JQ131125 TJ131105:TM131125 ADF131105:ADI131125 ANB131105:ANE131125 AWX131105:AXA131125 BGT131105:BGW131125 BQP131105:BQS131125 CAL131105:CAO131125 CKH131105:CKK131125 CUD131105:CUG131125 DDZ131105:DEC131125 DNV131105:DNY131125 DXR131105:DXU131125 EHN131105:EHQ131125 ERJ131105:ERM131125 FBF131105:FBI131125 FLB131105:FLE131125 FUX131105:FVA131125 GET131105:GEW131125 GOP131105:GOS131125 GYL131105:GYO131125 HIH131105:HIK131125 HSD131105:HSG131125 IBZ131105:ICC131125 ILV131105:ILY131125 IVR131105:IVU131125 JFN131105:JFQ131125 JPJ131105:JPM131125 JZF131105:JZI131125 KJB131105:KJE131125 KSX131105:KTA131125 LCT131105:LCW131125 LMP131105:LMS131125 LWL131105:LWO131125 MGH131105:MGK131125 MQD131105:MQG131125 MZZ131105:NAC131125 NJV131105:NJY131125 NTR131105:NTU131125 ODN131105:ODQ131125 ONJ131105:ONM131125 OXF131105:OXI131125 PHB131105:PHE131125 PQX131105:PRA131125 QAT131105:QAW131125 QKP131105:QKS131125 QUL131105:QUO131125 REH131105:REK131125 ROD131105:ROG131125 RXZ131105:RYC131125 SHV131105:SHY131125 SRR131105:SRU131125 TBN131105:TBQ131125 TLJ131105:TLM131125 TVF131105:TVI131125 UFB131105:UFE131125 UOX131105:UPA131125 UYT131105:UYW131125 VIP131105:VIS131125 VSL131105:VSO131125 WCH131105:WCK131125 WMD131105:WMG131125 WVZ131105:WWC131125 R196641:U196661 JN196641:JQ196661 TJ196641:TM196661 ADF196641:ADI196661 ANB196641:ANE196661 AWX196641:AXA196661 BGT196641:BGW196661 BQP196641:BQS196661 CAL196641:CAO196661 CKH196641:CKK196661 CUD196641:CUG196661 DDZ196641:DEC196661 DNV196641:DNY196661 DXR196641:DXU196661 EHN196641:EHQ196661 ERJ196641:ERM196661 FBF196641:FBI196661 FLB196641:FLE196661 FUX196641:FVA196661 GET196641:GEW196661 GOP196641:GOS196661 GYL196641:GYO196661 HIH196641:HIK196661 HSD196641:HSG196661 IBZ196641:ICC196661 ILV196641:ILY196661 IVR196641:IVU196661 JFN196641:JFQ196661 JPJ196641:JPM196661 JZF196641:JZI196661 KJB196641:KJE196661 KSX196641:KTA196661 LCT196641:LCW196661 LMP196641:LMS196661 LWL196641:LWO196661 MGH196641:MGK196661 MQD196641:MQG196661 MZZ196641:NAC196661 NJV196641:NJY196661 NTR196641:NTU196661 ODN196641:ODQ196661 ONJ196641:ONM196661 OXF196641:OXI196661 PHB196641:PHE196661 PQX196641:PRA196661 QAT196641:QAW196661 QKP196641:QKS196661 QUL196641:QUO196661 REH196641:REK196661 ROD196641:ROG196661 RXZ196641:RYC196661 SHV196641:SHY196661 SRR196641:SRU196661 TBN196641:TBQ196661 TLJ196641:TLM196661 TVF196641:TVI196661 UFB196641:UFE196661 UOX196641:UPA196661 UYT196641:UYW196661 VIP196641:VIS196661 VSL196641:VSO196661 WCH196641:WCK196661 WMD196641:WMG196661 WVZ196641:WWC196661 R262177:U262197 JN262177:JQ262197 TJ262177:TM262197 ADF262177:ADI262197 ANB262177:ANE262197 AWX262177:AXA262197 BGT262177:BGW262197 BQP262177:BQS262197 CAL262177:CAO262197 CKH262177:CKK262197 CUD262177:CUG262197 DDZ262177:DEC262197 DNV262177:DNY262197 DXR262177:DXU262197 EHN262177:EHQ262197 ERJ262177:ERM262197 FBF262177:FBI262197 FLB262177:FLE262197 FUX262177:FVA262197 GET262177:GEW262197 GOP262177:GOS262197 GYL262177:GYO262197 HIH262177:HIK262197 HSD262177:HSG262197 IBZ262177:ICC262197 ILV262177:ILY262197 IVR262177:IVU262197 JFN262177:JFQ262197 JPJ262177:JPM262197 JZF262177:JZI262197 KJB262177:KJE262197 KSX262177:KTA262197 LCT262177:LCW262197 LMP262177:LMS262197 LWL262177:LWO262197 MGH262177:MGK262197 MQD262177:MQG262197 MZZ262177:NAC262197 NJV262177:NJY262197 NTR262177:NTU262197 ODN262177:ODQ262197 ONJ262177:ONM262197 OXF262177:OXI262197 PHB262177:PHE262197 PQX262177:PRA262197 QAT262177:QAW262197 QKP262177:QKS262197 QUL262177:QUO262197 REH262177:REK262197 ROD262177:ROG262197 RXZ262177:RYC262197 SHV262177:SHY262197 SRR262177:SRU262197 TBN262177:TBQ262197 TLJ262177:TLM262197 TVF262177:TVI262197 UFB262177:UFE262197 UOX262177:UPA262197 UYT262177:UYW262197 VIP262177:VIS262197 VSL262177:VSO262197 WCH262177:WCK262197 WMD262177:WMG262197 WVZ262177:WWC262197 R327713:U327733 JN327713:JQ327733 TJ327713:TM327733 ADF327713:ADI327733 ANB327713:ANE327733 AWX327713:AXA327733 BGT327713:BGW327733 BQP327713:BQS327733 CAL327713:CAO327733 CKH327713:CKK327733 CUD327713:CUG327733 DDZ327713:DEC327733 DNV327713:DNY327733 DXR327713:DXU327733 EHN327713:EHQ327733 ERJ327713:ERM327733 FBF327713:FBI327733 FLB327713:FLE327733 FUX327713:FVA327733 GET327713:GEW327733 GOP327713:GOS327733 GYL327713:GYO327733 HIH327713:HIK327733 HSD327713:HSG327733 IBZ327713:ICC327733 ILV327713:ILY327733 IVR327713:IVU327733 JFN327713:JFQ327733 JPJ327713:JPM327733 JZF327713:JZI327733 KJB327713:KJE327733 KSX327713:KTA327733 LCT327713:LCW327733 LMP327713:LMS327733 LWL327713:LWO327733 MGH327713:MGK327733 MQD327713:MQG327733 MZZ327713:NAC327733 NJV327713:NJY327733 NTR327713:NTU327733 ODN327713:ODQ327733 ONJ327713:ONM327733 OXF327713:OXI327733 PHB327713:PHE327733 PQX327713:PRA327733 QAT327713:QAW327733 QKP327713:QKS327733 QUL327713:QUO327733 REH327713:REK327733 ROD327713:ROG327733 RXZ327713:RYC327733 SHV327713:SHY327733 SRR327713:SRU327733 TBN327713:TBQ327733 TLJ327713:TLM327733 TVF327713:TVI327733 UFB327713:UFE327733 UOX327713:UPA327733 UYT327713:UYW327733 VIP327713:VIS327733 VSL327713:VSO327733 WCH327713:WCK327733 WMD327713:WMG327733 WVZ327713:WWC327733 R393249:U393269 JN393249:JQ393269 TJ393249:TM393269 ADF393249:ADI393269 ANB393249:ANE393269 AWX393249:AXA393269 BGT393249:BGW393269 BQP393249:BQS393269 CAL393249:CAO393269 CKH393249:CKK393269 CUD393249:CUG393269 DDZ393249:DEC393269 DNV393249:DNY393269 DXR393249:DXU393269 EHN393249:EHQ393269 ERJ393249:ERM393269 FBF393249:FBI393269 FLB393249:FLE393269 FUX393249:FVA393269 GET393249:GEW393269 GOP393249:GOS393269 GYL393249:GYO393269 HIH393249:HIK393269 HSD393249:HSG393269 IBZ393249:ICC393269 ILV393249:ILY393269 IVR393249:IVU393269 JFN393249:JFQ393269 JPJ393249:JPM393269 JZF393249:JZI393269 KJB393249:KJE393269 KSX393249:KTA393269 LCT393249:LCW393269 LMP393249:LMS393269 LWL393249:LWO393269 MGH393249:MGK393269 MQD393249:MQG393269 MZZ393249:NAC393269 NJV393249:NJY393269 NTR393249:NTU393269 ODN393249:ODQ393269 ONJ393249:ONM393269 OXF393249:OXI393269 PHB393249:PHE393269 PQX393249:PRA393269 QAT393249:QAW393269 QKP393249:QKS393269 QUL393249:QUO393269 REH393249:REK393269 ROD393249:ROG393269 RXZ393249:RYC393269 SHV393249:SHY393269 SRR393249:SRU393269 TBN393249:TBQ393269 TLJ393249:TLM393269 TVF393249:TVI393269 UFB393249:UFE393269 UOX393249:UPA393269 UYT393249:UYW393269 VIP393249:VIS393269 VSL393249:VSO393269 WCH393249:WCK393269 WMD393249:WMG393269 WVZ393249:WWC393269 R458785:U458805 JN458785:JQ458805 TJ458785:TM458805 ADF458785:ADI458805 ANB458785:ANE458805 AWX458785:AXA458805 BGT458785:BGW458805 BQP458785:BQS458805 CAL458785:CAO458805 CKH458785:CKK458805 CUD458785:CUG458805 DDZ458785:DEC458805 DNV458785:DNY458805 DXR458785:DXU458805 EHN458785:EHQ458805 ERJ458785:ERM458805 FBF458785:FBI458805 FLB458785:FLE458805 FUX458785:FVA458805 GET458785:GEW458805 GOP458785:GOS458805 GYL458785:GYO458805 HIH458785:HIK458805 HSD458785:HSG458805 IBZ458785:ICC458805 ILV458785:ILY458805 IVR458785:IVU458805 JFN458785:JFQ458805 JPJ458785:JPM458805 JZF458785:JZI458805 KJB458785:KJE458805 KSX458785:KTA458805 LCT458785:LCW458805 LMP458785:LMS458805 LWL458785:LWO458805 MGH458785:MGK458805 MQD458785:MQG458805 MZZ458785:NAC458805 NJV458785:NJY458805 NTR458785:NTU458805 ODN458785:ODQ458805 ONJ458785:ONM458805 OXF458785:OXI458805 PHB458785:PHE458805 PQX458785:PRA458805 QAT458785:QAW458805 QKP458785:QKS458805 QUL458785:QUO458805 REH458785:REK458805 ROD458785:ROG458805 RXZ458785:RYC458805 SHV458785:SHY458805 SRR458785:SRU458805 TBN458785:TBQ458805 TLJ458785:TLM458805 TVF458785:TVI458805 UFB458785:UFE458805 UOX458785:UPA458805 UYT458785:UYW458805 VIP458785:VIS458805 VSL458785:VSO458805 WCH458785:WCK458805 WMD458785:WMG458805 WVZ458785:WWC458805 R524321:U524341 JN524321:JQ524341 TJ524321:TM524341 ADF524321:ADI524341 ANB524321:ANE524341 AWX524321:AXA524341 BGT524321:BGW524341 BQP524321:BQS524341 CAL524321:CAO524341 CKH524321:CKK524341 CUD524321:CUG524341 DDZ524321:DEC524341 DNV524321:DNY524341 DXR524321:DXU524341 EHN524321:EHQ524341 ERJ524321:ERM524341 FBF524321:FBI524341 FLB524321:FLE524341 FUX524321:FVA524341 GET524321:GEW524341 GOP524321:GOS524341 GYL524321:GYO524341 HIH524321:HIK524341 HSD524321:HSG524341 IBZ524321:ICC524341 ILV524321:ILY524341 IVR524321:IVU524341 JFN524321:JFQ524341 JPJ524321:JPM524341 JZF524321:JZI524341 KJB524321:KJE524341 KSX524321:KTA524341 LCT524321:LCW524341 LMP524321:LMS524341 LWL524321:LWO524341 MGH524321:MGK524341 MQD524321:MQG524341 MZZ524321:NAC524341 NJV524321:NJY524341 NTR524321:NTU524341 ODN524321:ODQ524341 ONJ524321:ONM524341 OXF524321:OXI524341 PHB524321:PHE524341 PQX524321:PRA524341 QAT524321:QAW524341 QKP524321:QKS524341 QUL524321:QUO524341 REH524321:REK524341 ROD524321:ROG524341 RXZ524321:RYC524341 SHV524321:SHY524341 SRR524321:SRU524341 TBN524321:TBQ524341 TLJ524321:TLM524341 TVF524321:TVI524341 UFB524321:UFE524341 UOX524321:UPA524341 UYT524321:UYW524341 VIP524321:VIS524341 VSL524321:VSO524341 WCH524321:WCK524341 WMD524321:WMG524341 WVZ524321:WWC524341 R589857:U589877 JN589857:JQ589877 TJ589857:TM589877 ADF589857:ADI589877 ANB589857:ANE589877 AWX589857:AXA589877 BGT589857:BGW589877 BQP589857:BQS589877 CAL589857:CAO589877 CKH589857:CKK589877 CUD589857:CUG589877 DDZ589857:DEC589877 DNV589857:DNY589877 DXR589857:DXU589877 EHN589857:EHQ589877 ERJ589857:ERM589877 FBF589857:FBI589877 FLB589857:FLE589877 FUX589857:FVA589877 GET589857:GEW589877 GOP589857:GOS589877 GYL589857:GYO589877 HIH589857:HIK589877 HSD589857:HSG589877 IBZ589857:ICC589877 ILV589857:ILY589877 IVR589857:IVU589877 JFN589857:JFQ589877 JPJ589857:JPM589877 JZF589857:JZI589877 KJB589857:KJE589877 KSX589857:KTA589877 LCT589857:LCW589877 LMP589857:LMS589877 LWL589857:LWO589877 MGH589857:MGK589877 MQD589857:MQG589877 MZZ589857:NAC589877 NJV589857:NJY589877 NTR589857:NTU589877 ODN589857:ODQ589877 ONJ589857:ONM589877 OXF589857:OXI589877 PHB589857:PHE589877 PQX589857:PRA589877 QAT589857:QAW589877 QKP589857:QKS589877 QUL589857:QUO589877 REH589857:REK589877 ROD589857:ROG589877 RXZ589857:RYC589877 SHV589857:SHY589877 SRR589857:SRU589877 TBN589857:TBQ589877 TLJ589857:TLM589877 TVF589857:TVI589877 UFB589857:UFE589877 UOX589857:UPA589877 UYT589857:UYW589877 VIP589857:VIS589877 VSL589857:VSO589877 WCH589857:WCK589877 WMD589857:WMG589877 WVZ589857:WWC589877 R655393:U655413 JN655393:JQ655413 TJ655393:TM655413 ADF655393:ADI655413 ANB655393:ANE655413 AWX655393:AXA655413 BGT655393:BGW655413 BQP655393:BQS655413 CAL655393:CAO655413 CKH655393:CKK655413 CUD655393:CUG655413 DDZ655393:DEC655413 DNV655393:DNY655413 DXR655393:DXU655413 EHN655393:EHQ655413 ERJ655393:ERM655413 FBF655393:FBI655413 FLB655393:FLE655413 FUX655393:FVA655413 GET655393:GEW655413 GOP655393:GOS655413 GYL655393:GYO655413 HIH655393:HIK655413 HSD655393:HSG655413 IBZ655393:ICC655413 ILV655393:ILY655413 IVR655393:IVU655413 JFN655393:JFQ655413 JPJ655393:JPM655413 JZF655393:JZI655413 KJB655393:KJE655413 KSX655393:KTA655413 LCT655393:LCW655413 LMP655393:LMS655413 LWL655393:LWO655413 MGH655393:MGK655413 MQD655393:MQG655413 MZZ655393:NAC655413 NJV655393:NJY655413 NTR655393:NTU655413 ODN655393:ODQ655413 ONJ655393:ONM655413 OXF655393:OXI655413 PHB655393:PHE655413 PQX655393:PRA655413 QAT655393:QAW655413 QKP655393:QKS655413 QUL655393:QUO655413 REH655393:REK655413 ROD655393:ROG655413 RXZ655393:RYC655413 SHV655393:SHY655413 SRR655393:SRU655413 TBN655393:TBQ655413 TLJ655393:TLM655413 TVF655393:TVI655413 UFB655393:UFE655413 UOX655393:UPA655413 UYT655393:UYW655413 VIP655393:VIS655413 VSL655393:VSO655413 WCH655393:WCK655413 WMD655393:WMG655413 WVZ655393:WWC655413 R720929:U720949 JN720929:JQ720949 TJ720929:TM720949 ADF720929:ADI720949 ANB720929:ANE720949 AWX720929:AXA720949 BGT720929:BGW720949 BQP720929:BQS720949 CAL720929:CAO720949 CKH720929:CKK720949 CUD720929:CUG720949 DDZ720929:DEC720949 DNV720929:DNY720949 DXR720929:DXU720949 EHN720929:EHQ720949 ERJ720929:ERM720949 FBF720929:FBI720949 FLB720929:FLE720949 FUX720929:FVA720949 GET720929:GEW720949 GOP720929:GOS720949 GYL720929:GYO720949 HIH720929:HIK720949 HSD720929:HSG720949 IBZ720929:ICC720949 ILV720929:ILY720949 IVR720929:IVU720949 JFN720929:JFQ720949 JPJ720929:JPM720949 JZF720929:JZI720949 KJB720929:KJE720949 KSX720929:KTA720949 LCT720929:LCW720949 LMP720929:LMS720949 LWL720929:LWO720949 MGH720929:MGK720949 MQD720929:MQG720949 MZZ720929:NAC720949 NJV720929:NJY720949 NTR720929:NTU720949 ODN720929:ODQ720949 ONJ720929:ONM720949 OXF720929:OXI720949 PHB720929:PHE720949 PQX720929:PRA720949 QAT720929:QAW720949 QKP720929:QKS720949 QUL720929:QUO720949 REH720929:REK720949 ROD720929:ROG720949 RXZ720929:RYC720949 SHV720929:SHY720949 SRR720929:SRU720949 TBN720929:TBQ720949 TLJ720929:TLM720949 TVF720929:TVI720949 UFB720929:UFE720949 UOX720929:UPA720949 UYT720929:UYW720949 VIP720929:VIS720949 VSL720929:VSO720949 WCH720929:WCK720949 WMD720929:WMG720949 WVZ720929:WWC720949 R786465:U786485 JN786465:JQ786485 TJ786465:TM786485 ADF786465:ADI786485 ANB786465:ANE786485 AWX786465:AXA786485 BGT786465:BGW786485 BQP786465:BQS786485 CAL786465:CAO786485 CKH786465:CKK786485 CUD786465:CUG786485 DDZ786465:DEC786485 DNV786465:DNY786485 DXR786465:DXU786485 EHN786465:EHQ786485 ERJ786465:ERM786485 FBF786465:FBI786485 FLB786465:FLE786485 FUX786465:FVA786485 GET786465:GEW786485 GOP786465:GOS786485 GYL786465:GYO786485 HIH786465:HIK786485 HSD786465:HSG786485 IBZ786465:ICC786485 ILV786465:ILY786485 IVR786465:IVU786485 JFN786465:JFQ786485 JPJ786465:JPM786485 JZF786465:JZI786485 KJB786465:KJE786485 KSX786465:KTA786485 LCT786465:LCW786485 LMP786465:LMS786485 LWL786465:LWO786485 MGH786465:MGK786485 MQD786465:MQG786485 MZZ786465:NAC786485 NJV786465:NJY786485 NTR786465:NTU786485 ODN786465:ODQ786485 ONJ786465:ONM786485 OXF786465:OXI786485 PHB786465:PHE786485 PQX786465:PRA786485 QAT786465:QAW786485 QKP786465:QKS786485 QUL786465:QUO786485 REH786465:REK786485 ROD786465:ROG786485 RXZ786465:RYC786485 SHV786465:SHY786485 SRR786465:SRU786485 TBN786465:TBQ786485 TLJ786465:TLM786485 TVF786465:TVI786485 UFB786465:UFE786485 UOX786465:UPA786485 UYT786465:UYW786485 VIP786465:VIS786485 VSL786465:VSO786485 WCH786465:WCK786485 WMD786465:WMG786485 WVZ786465:WWC786485 R852001:U852021 JN852001:JQ852021 TJ852001:TM852021 ADF852001:ADI852021 ANB852001:ANE852021 AWX852001:AXA852021 BGT852001:BGW852021 BQP852001:BQS852021 CAL852001:CAO852021 CKH852001:CKK852021 CUD852001:CUG852021 DDZ852001:DEC852021 DNV852001:DNY852021 DXR852001:DXU852021 EHN852001:EHQ852021 ERJ852001:ERM852021 FBF852001:FBI852021 FLB852001:FLE852021 FUX852001:FVA852021 GET852001:GEW852021 GOP852001:GOS852021 GYL852001:GYO852021 HIH852001:HIK852021 HSD852001:HSG852021 IBZ852001:ICC852021 ILV852001:ILY852021 IVR852001:IVU852021 JFN852001:JFQ852021 JPJ852001:JPM852021 JZF852001:JZI852021 KJB852001:KJE852021 KSX852001:KTA852021 LCT852001:LCW852021 LMP852001:LMS852021 LWL852001:LWO852021 MGH852001:MGK852021 MQD852001:MQG852021 MZZ852001:NAC852021 NJV852001:NJY852021 NTR852001:NTU852021 ODN852001:ODQ852021 ONJ852001:ONM852021 OXF852001:OXI852021 PHB852001:PHE852021 PQX852001:PRA852021 QAT852001:QAW852021 QKP852001:QKS852021 QUL852001:QUO852021 REH852001:REK852021 ROD852001:ROG852021 RXZ852001:RYC852021 SHV852001:SHY852021 SRR852001:SRU852021 TBN852001:TBQ852021 TLJ852001:TLM852021 TVF852001:TVI852021 UFB852001:UFE852021 UOX852001:UPA852021 UYT852001:UYW852021 VIP852001:VIS852021 VSL852001:VSO852021 WCH852001:WCK852021 WMD852001:WMG852021 WVZ852001:WWC852021 R917537:U917557 JN917537:JQ917557 TJ917537:TM917557 ADF917537:ADI917557 ANB917537:ANE917557 AWX917537:AXA917557 BGT917537:BGW917557 BQP917537:BQS917557 CAL917537:CAO917557 CKH917537:CKK917557 CUD917537:CUG917557 DDZ917537:DEC917557 DNV917537:DNY917557 DXR917537:DXU917557 EHN917537:EHQ917557 ERJ917537:ERM917557 FBF917537:FBI917557 FLB917537:FLE917557 FUX917537:FVA917557 GET917537:GEW917557 GOP917537:GOS917557 GYL917537:GYO917557 HIH917537:HIK917557 HSD917537:HSG917557 IBZ917537:ICC917557 ILV917537:ILY917557 IVR917537:IVU917557 JFN917537:JFQ917557 JPJ917537:JPM917557 JZF917537:JZI917557 KJB917537:KJE917557 KSX917537:KTA917557 LCT917537:LCW917557 LMP917537:LMS917557 LWL917537:LWO917557 MGH917537:MGK917557 MQD917537:MQG917557 MZZ917537:NAC917557 NJV917537:NJY917557 NTR917537:NTU917557 ODN917537:ODQ917557 ONJ917537:ONM917557 OXF917537:OXI917557 PHB917537:PHE917557 PQX917537:PRA917557 QAT917537:QAW917557 QKP917537:QKS917557 QUL917537:QUO917557 REH917537:REK917557 ROD917537:ROG917557 RXZ917537:RYC917557 SHV917537:SHY917557 SRR917537:SRU917557 TBN917537:TBQ917557 TLJ917537:TLM917557 TVF917537:TVI917557 UFB917537:UFE917557 UOX917537:UPA917557 UYT917537:UYW917557 VIP917537:VIS917557 VSL917537:VSO917557 WCH917537:WCK917557 WMD917537:WMG917557 WVZ917537:WWC917557 R983073:U983093 JN983073:JQ983093 TJ983073:TM983093 ADF983073:ADI983093 ANB983073:ANE983093 AWX983073:AXA983093 BGT983073:BGW983093 BQP983073:BQS983093 CAL983073:CAO983093 CKH983073:CKK983093 CUD983073:CUG983093 DDZ983073:DEC983093 DNV983073:DNY983093 DXR983073:DXU983093 EHN983073:EHQ983093 ERJ983073:ERM983093 FBF983073:FBI983093 FLB983073:FLE983093 FUX983073:FVA983093 GET983073:GEW983093 GOP983073:GOS983093 GYL983073:GYO983093 HIH983073:HIK983093 HSD983073:HSG983093 IBZ983073:ICC983093 ILV983073:ILY983093 IVR983073:IVU983093 JFN983073:JFQ983093 JPJ983073:JPM983093 JZF983073:JZI983093 KJB983073:KJE983093 KSX983073:KTA983093 LCT983073:LCW983093 LMP983073:LMS983093 LWL983073:LWO983093 MGH983073:MGK983093 MQD983073:MQG983093 MZZ983073:NAC983093 NJV983073:NJY983093 NTR983073:NTU983093 ODN983073:ODQ983093 ONJ983073:ONM983093 OXF983073:OXI983093 PHB983073:PHE983093 PQX983073:PRA983093 QAT983073:QAW983093 QKP983073:QKS983093 QUL983073:QUO983093 REH983073:REK983093 ROD983073:ROG983093 RXZ983073:RYC983093 SHV983073:SHY983093 SRR983073:SRU983093 TBN983073:TBQ983093 TLJ983073:TLM983093 TVF983073:TVI983093 UFB983073:UFE983093 UOX983073:UPA983093 UYT983073:UYW983093 VIP983073:VIS983093 VSL983073:VSO983093 WCH983073:WCK983093 WMD983073:WMG983093 WVZ983073:WWC983093 H12:K12 JD12:JG12 SZ12:TC12 ACV12:ACY12 AMR12:AMU12 AWN12:AWQ12 BGJ12:BGM12 BQF12:BQI12 CAB12:CAE12 CJX12:CKA12 CTT12:CTW12 DDP12:DDS12 DNL12:DNO12 DXH12:DXK12 EHD12:EHG12 EQZ12:ERC12 FAV12:FAY12 FKR12:FKU12 FUN12:FUQ12 GEJ12:GEM12 GOF12:GOI12 GYB12:GYE12 HHX12:HIA12 HRT12:HRW12 IBP12:IBS12 ILL12:ILO12 IVH12:IVK12 JFD12:JFG12 JOZ12:JPC12 JYV12:JYY12 KIR12:KIU12 KSN12:KSQ12 LCJ12:LCM12 LMF12:LMI12 LWB12:LWE12 MFX12:MGA12 MPT12:MPW12 MZP12:MZS12 NJL12:NJO12 NTH12:NTK12 ODD12:ODG12 OMZ12:ONC12 OWV12:OWY12 PGR12:PGU12 PQN12:PQQ12 QAJ12:QAM12 QKF12:QKI12 QUB12:QUE12 RDX12:REA12 RNT12:RNW12 RXP12:RXS12 SHL12:SHO12 SRH12:SRK12 TBD12:TBG12 TKZ12:TLC12 TUV12:TUY12 UER12:UEU12 UON12:UOQ12 UYJ12:UYM12 VIF12:VII12 VSB12:VSE12 WBX12:WCA12 WLT12:WLW12 WVP12:WVS12 H65548:K65548 JD65548:JG65548 SZ65548:TC65548 ACV65548:ACY65548 AMR65548:AMU65548 AWN65548:AWQ65548 BGJ65548:BGM65548 BQF65548:BQI65548 CAB65548:CAE65548 CJX65548:CKA65548 CTT65548:CTW65548 DDP65548:DDS65548 DNL65548:DNO65548 DXH65548:DXK65548 EHD65548:EHG65548 EQZ65548:ERC65548 FAV65548:FAY65548 FKR65548:FKU65548 FUN65548:FUQ65548 GEJ65548:GEM65548 GOF65548:GOI65548 GYB65548:GYE65548 HHX65548:HIA65548 HRT65548:HRW65548 IBP65548:IBS65548 ILL65548:ILO65548 IVH65548:IVK65548 JFD65548:JFG65548 JOZ65548:JPC65548 JYV65548:JYY65548 KIR65548:KIU65548 KSN65548:KSQ65548 LCJ65548:LCM65548 LMF65548:LMI65548 LWB65548:LWE65548 MFX65548:MGA65548 MPT65548:MPW65548 MZP65548:MZS65548 NJL65548:NJO65548 NTH65548:NTK65548 ODD65548:ODG65548 OMZ65548:ONC65548 OWV65548:OWY65548 PGR65548:PGU65548 PQN65548:PQQ65548 QAJ65548:QAM65548 QKF65548:QKI65548 QUB65548:QUE65548 RDX65548:REA65548 RNT65548:RNW65548 RXP65548:RXS65548 SHL65548:SHO65548 SRH65548:SRK65548 TBD65548:TBG65548 TKZ65548:TLC65548 TUV65548:TUY65548 UER65548:UEU65548 UON65548:UOQ65548 UYJ65548:UYM65548 VIF65548:VII65548 VSB65548:VSE65548 WBX65548:WCA65548 WLT65548:WLW65548 WVP65548:WVS65548 H131084:K131084 JD131084:JG131084 SZ131084:TC131084 ACV131084:ACY131084 AMR131084:AMU131084 AWN131084:AWQ131084 BGJ131084:BGM131084 BQF131084:BQI131084 CAB131084:CAE131084 CJX131084:CKA131084 CTT131084:CTW131084 DDP131084:DDS131084 DNL131084:DNO131084 DXH131084:DXK131084 EHD131084:EHG131084 EQZ131084:ERC131084 FAV131084:FAY131084 FKR131084:FKU131084 FUN131084:FUQ131084 GEJ131084:GEM131084 GOF131084:GOI131084 GYB131084:GYE131084 HHX131084:HIA131084 HRT131084:HRW131084 IBP131084:IBS131084 ILL131084:ILO131084 IVH131084:IVK131084 JFD131084:JFG131084 JOZ131084:JPC131084 JYV131084:JYY131084 KIR131084:KIU131084 KSN131084:KSQ131084 LCJ131084:LCM131084 LMF131084:LMI131084 LWB131084:LWE131084 MFX131084:MGA131084 MPT131084:MPW131084 MZP131084:MZS131084 NJL131084:NJO131084 NTH131084:NTK131084 ODD131084:ODG131084 OMZ131084:ONC131084 OWV131084:OWY131084 PGR131084:PGU131084 PQN131084:PQQ131084 QAJ131084:QAM131084 QKF131084:QKI131084 QUB131084:QUE131084 RDX131084:REA131084 RNT131084:RNW131084 RXP131084:RXS131084 SHL131084:SHO131084 SRH131084:SRK131084 TBD131084:TBG131084 TKZ131084:TLC131084 TUV131084:TUY131084 UER131084:UEU131084 UON131084:UOQ131084 UYJ131084:UYM131084 VIF131084:VII131084 VSB131084:VSE131084 WBX131084:WCA131084 WLT131084:WLW131084 WVP131084:WVS131084 H196620:K196620 JD196620:JG196620 SZ196620:TC196620 ACV196620:ACY196620 AMR196620:AMU196620 AWN196620:AWQ196620 BGJ196620:BGM196620 BQF196620:BQI196620 CAB196620:CAE196620 CJX196620:CKA196620 CTT196620:CTW196620 DDP196620:DDS196620 DNL196620:DNO196620 DXH196620:DXK196620 EHD196620:EHG196620 EQZ196620:ERC196620 FAV196620:FAY196620 FKR196620:FKU196620 FUN196620:FUQ196620 GEJ196620:GEM196620 GOF196620:GOI196620 GYB196620:GYE196620 HHX196620:HIA196620 HRT196620:HRW196620 IBP196620:IBS196620 ILL196620:ILO196620 IVH196620:IVK196620 JFD196620:JFG196620 JOZ196620:JPC196620 JYV196620:JYY196620 KIR196620:KIU196620 KSN196620:KSQ196620 LCJ196620:LCM196620 LMF196620:LMI196620 LWB196620:LWE196620 MFX196620:MGA196620 MPT196620:MPW196620 MZP196620:MZS196620 NJL196620:NJO196620 NTH196620:NTK196620 ODD196620:ODG196620 OMZ196620:ONC196620 OWV196620:OWY196620 PGR196620:PGU196620 PQN196620:PQQ196620 QAJ196620:QAM196620 QKF196620:QKI196620 QUB196620:QUE196620 RDX196620:REA196620 RNT196620:RNW196620 RXP196620:RXS196620 SHL196620:SHO196620 SRH196620:SRK196620 TBD196620:TBG196620 TKZ196620:TLC196620 TUV196620:TUY196620 UER196620:UEU196620 UON196620:UOQ196620 UYJ196620:UYM196620 VIF196620:VII196620 VSB196620:VSE196620 WBX196620:WCA196620 WLT196620:WLW196620 WVP196620:WVS196620 H262156:K262156 JD262156:JG262156 SZ262156:TC262156 ACV262156:ACY262156 AMR262156:AMU262156 AWN262156:AWQ262156 BGJ262156:BGM262156 BQF262156:BQI262156 CAB262156:CAE262156 CJX262156:CKA262156 CTT262156:CTW262156 DDP262156:DDS262156 DNL262156:DNO262156 DXH262156:DXK262156 EHD262156:EHG262156 EQZ262156:ERC262156 FAV262156:FAY262156 FKR262156:FKU262156 FUN262156:FUQ262156 GEJ262156:GEM262156 GOF262156:GOI262156 GYB262156:GYE262156 HHX262156:HIA262156 HRT262156:HRW262156 IBP262156:IBS262156 ILL262156:ILO262156 IVH262156:IVK262156 JFD262156:JFG262156 JOZ262156:JPC262156 JYV262156:JYY262156 KIR262156:KIU262156 KSN262156:KSQ262156 LCJ262156:LCM262156 LMF262156:LMI262156 LWB262156:LWE262156 MFX262156:MGA262156 MPT262156:MPW262156 MZP262156:MZS262156 NJL262156:NJO262156 NTH262156:NTK262156 ODD262156:ODG262156 OMZ262156:ONC262156 OWV262156:OWY262156 PGR262156:PGU262156 PQN262156:PQQ262156 QAJ262156:QAM262156 QKF262156:QKI262156 QUB262156:QUE262156 RDX262156:REA262156 RNT262156:RNW262156 RXP262156:RXS262156 SHL262156:SHO262156 SRH262156:SRK262156 TBD262156:TBG262156 TKZ262156:TLC262156 TUV262156:TUY262156 UER262156:UEU262156 UON262156:UOQ262156 UYJ262156:UYM262156 VIF262156:VII262156 VSB262156:VSE262156 WBX262156:WCA262156 WLT262156:WLW262156 WVP262156:WVS262156 H327692:K327692 JD327692:JG327692 SZ327692:TC327692 ACV327692:ACY327692 AMR327692:AMU327692 AWN327692:AWQ327692 BGJ327692:BGM327692 BQF327692:BQI327692 CAB327692:CAE327692 CJX327692:CKA327692 CTT327692:CTW327692 DDP327692:DDS327692 DNL327692:DNO327692 DXH327692:DXK327692 EHD327692:EHG327692 EQZ327692:ERC327692 FAV327692:FAY327692 FKR327692:FKU327692 FUN327692:FUQ327692 GEJ327692:GEM327692 GOF327692:GOI327692 GYB327692:GYE327692 HHX327692:HIA327692 HRT327692:HRW327692 IBP327692:IBS327692 ILL327692:ILO327692 IVH327692:IVK327692 JFD327692:JFG327692 JOZ327692:JPC327692 JYV327692:JYY327692 KIR327692:KIU327692 KSN327692:KSQ327692 LCJ327692:LCM327692 LMF327692:LMI327692 LWB327692:LWE327692 MFX327692:MGA327692 MPT327692:MPW327692 MZP327692:MZS327692 NJL327692:NJO327692 NTH327692:NTK327692 ODD327692:ODG327692 OMZ327692:ONC327692 OWV327692:OWY327692 PGR327692:PGU327692 PQN327692:PQQ327692 QAJ327692:QAM327692 QKF327692:QKI327692 QUB327692:QUE327692 RDX327692:REA327692 RNT327692:RNW327692 RXP327692:RXS327692 SHL327692:SHO327692 SRH327692:SRK327692 TBD327692:TBG327692 TKZ327692:TLC327692 TUV327692:TUY327692 UER327692:UEU327692 UON327692:UOQ327692 UYJ327692:UYM327692 VIF327692:VII327692 VSB327692:VSE327692 WBX327692:WCA327692 WLT327692:WLW327692 WVP327692:WVS327692 H393228:K393228 JD393228:JG393228 SZ393228:TC393228 ACV393228:ACY393228 AMR393228:AMU393228 AWN393228:AWQ393228 BGJ393228:BGM393228 BQF393228:BQI393228 CAB393228:CAE393228 CJX393228:CKA393228 CTT393228:CTW393228 DDP393228:DDS393228 DNL393228:DNO393228 DXH393228:DXK393228 EHD393228:EHG393228 EQZ393228:ERC393228 FAV393228:FAY393228 FKR393228:FKU393228 FUN393228:FUQ393228 GEJ393228:GEM393228 GOF393228:GOI393228 GYB393228:GYE393228 HHX393228:HIA393228 HRT393228:HRW393228 IBP393228:IBS393228 ILL393228:ILO393228 IVH393228:IVK393228 JFD393228:JFG393228 JOZ393228:JPC393228 JYV393228:JYY393228 KIR393228:KIU393228 KSN393228:KSQ393228 LCJ393228:LCM393228 LMF393228:LMI393228 LWB393228:LWE393228 MFX393228:MGA393228 MPT393228:MPW393228 MZP393228:MZS393228 NJL393228:NJO393228 NTH393228:NTK393228 ODD393228:ODG393228 OMZ393228:ONC393228 OWV393228:OWY393228 PGR393228:PGU393228 PQN393228:PQQ393228 QAJ393228:QAM393228 QKF393228:QKI393228 QUB393228:QUE393228 RDX393228:REA393228 RNT393228:RNW393228 RXP393228:RXS393228 SHL393228:SHO393228 SRH393228:SRK393228 TBD393228:TBG393228 TKZ393228:TLC393228 TUV393228:TUY393228 UER393228:UEU393228 UON393228:UOQ393228 UYJ393228:UYM393228 VIF393228:VII393228 VSB393228:VSE393228 WBX393228:WCA393228 WLT393228:WLW393228 WVP393228:WVS393228 H458764:K458764 JD458764:JG458764 SZ458764:TC458764 ACV458764:ACY458764 AMR458764:AMU458764 AWN458764:AWQ458764 BGJ458764:BGM458764 BQF458764:BQI458764 CAB458764:CAE458764 CJX458764:CKA458764 CTT458764:CTW458764 DDP458764:DDS458764 DNL458764:DNO458764 DXH458764:DXK458764 EHD458764:EHG458764 EQZ458764:ERC458764 FAV458764:FAY458764 FKR458764:FKU458764 FUN458764:FUQ458764 GEJ458764:GEM458764 GOF458764:GOI458764 GYB458764:GYE458764 HHX458764:HIA458764 HRT458764:HRW458764 IBP458764:IBS458764 ILL458764:ILO458764 IVH458764:IVK458764 JFD458764:JFG458764 JOZ458764:JPC458764 JYV458764:JYY458764 KIR458764:KIU458764 KSN458764:KSQ458764 LCJ458764:LCM458764 LMF458764:LMI458764 LWB458764:LWE458764 MFX458764:MGA458764 MPT458764:MPW458764 MZP458764:MZS458764 NJL458764:NJO458764 NTH458764:NTK458764 ODD458764:ODG458764 OMZ458764:ONC458764 OWV458764:OWY458764 PGR458764:PGU458764 PQN458764:PQQ458764 QAJ458764:QAM458764 QKF458764:QKI458764 QUB458764:QUE458764 RDX458764:REA458764 RNT458764:RNW458764 RXP458764:RXS458764 SHL458764:SHO458764 SRH458764:SRK458764 TBD458764:TBG458764 TKZ458764:TLC458764 TUV458764:TUY458764 UER458764:UEU458764 UON458764:UOQ458764 UYJ458764:UYM458764 VIF458764:VII458764 VSB458764:VSE458764 WBX458764:WCA458764 WLT458764:WLW458764 WVP458764:WVS458764 H524300:K524300 JD524300:JG524300 SZ524300:TC524300 ACV524300:ACY524300 AMR524300:AMU524300 AWN524300:AWQ524300 BGJ524300:BGM524300 BQF524300:BQI524300 CAB524300:CAE524300 CJX524300:CKA524300 CTT524300:CTW524300 DDP524300:DDS524300 DNL524300:DNO524300 DXH524300:DXK524300 EHD524300:EHG524300 EQZ524300:ERC524300 FAV524300:FAY524300 FKR524300:FKU524300 FUN524300:FUQ524300 GEJ524300:GEM524300 GOF524300:GOI524300 GYB524300:GYE524300 HHX524300:HIA524300 HRT524300:HRW524300 IBP524300:IBS524300 ILL524300:ILO524300 IVH524300:IVK524300 JFD524300:JFG524300 JOZ524300:JPC524300 JYV524300:JYY524300 KIR524300:KIU524300 KSN524300:KSQ524300 LCJ524300:LCM524300 LMF524300:LMI524300 LWB524300:LWE524300 MFX524300:MGA524300 MPT524300:MPW524300 MZP524300:MZS524300 NJL524300:NJO524300 NTH524300:NTK524300 ODD524300:ODG524300 OMZ524300:ONC524300 OWV524300:OWY524300 PGR524300:PGU524300 PQN524300:PQQ524300 QAJ524300:QAM524300 QKF524300:QKI524300 QUB524300:QUE524300 RDX524300:REA524300 RNT524300:RNW524300 RXP524300:RXS524300 SHL524300:SHO524300 SRH524300:SRK524300 TBD524300:TBG524300 TKZ524300:TLC524300 TUV524300:TUY524300 UER524300:UEU524300 UON524300:UOQ524300 UYJ524300:UYM524300 VIF524300:VII524300 VSB524300:VSE524300 WBX524300:WCA524300 WLT524300:WLW524300 WVP524300:WVS524300 H589836:K589836 JD589836:JG589836 SZ589836:TC589836 ACV589836:ACY589836 AMR589836:AMU589836 AWN589836:AWQ589836 BGJ589836:BGM589836 BQF589836:BQI589836 CAB589836:CAE589836 CJX589836:CKA589836 CTT589836:CTW589836 DDP589836:DDS589836 DNL589836:DNO589836 DXH589836:DXK589836 EHD589836:EHG589836 EQZ589836:ERC589836 FAV589836:FAY589836 FKR589836:FKU589836 FUN589836:FUQ589836 GEJ589836:GEM589836 GOF589836:GOI589836 GYB589836:GYE589836 HHX589836:HIA589836 HRT589836:HRW589836 IBP589836:IBS589836 ILL589836:ILO589836 IVH589836:IVK589836 JFD589836:JFG589836 JOZ589836:JPC589836 JYV589836:JYY589836 KIR589836:KIU589836 KSN589836:KSQ589836 LCJ589836:LCM589836 LMF589836:LMI589836 LWB589836:LWE589836 MFX589836:MGA589836 MPT589836:MPW589836 MZP589836:MZS589836 NJL589836:NJO589836 NTH589836:NTK589836 ODD589836:ODG589836 OMZ589836:ONC589836 OWV589836:OWY589836 PGR589836:PGU589836 PQN589836:PQQ589836 QAJ589836:QAM589836 QKF589836:QKI589836 QUB589836:QUE589836 RDX589836:REA589836 RNT589836:RNW589836 RXP589836:RXS589836 SHL589836:SHO589836 SRH589836:SRK589836 TBD589836:TBG589836 TKZ589836:TLC589836 TUV589836:TUY589836 UER589836:UEU589836 UON589836:UOQ589836 UYJ589836:UYM589836 VIF589836:VII589836 VSB589836:VSE589836 WBX589836:WCA589836 WLT589836:WLW589836 WVP589836:WVS589836 H655372:K655372 JD655372:JG655372 SZ655372:TC655372 ACV655372:ACY655372 AMR655372:AMU655372 AWN655372:AWQ655372 BGJ655372:BGM655372 BQF655372:BQI655372 CAB655372:CAE655372 CJX655372:CKA655372 CTT655372:CTW655372 DDP655372:DDS655372 DNL655372:DNO655372 DXH655372:DXK655372 EHD655372:EHG655372 EQZ655372:ERC655372 FAV655372:FAY655372 FKR655372:FKU655372 FUN655372:FUQ655372 GEJ655372:GEM655372 GOF655372:GOI655372 GYB655372:GYE655372 HHX655372:HIA655372 HRT655372:HRW655372 IBP655372:IBS655372 ILL655372:ILO655372 IVH655372:IVK655372 JFD655372:JFG655372 JOZ655372:JPC655372 JYV655372:JYY655372 KIR655372:KIU655372 KSN655372:KSQ655372 LCJ655372:LCM655372 LMF655372:LMI655372 LWB655372:LWE655372 MFX655372:MGA655372 MPT655372:MPW655372 MZP655372:MZS655372 NJL655372:NJO655372 NTH655372:NTK655372 ODD655372:ODG655372 OMZ655372:ONC655372 OWV655372:OWY655372 PGR655372:PGU655372 PQN655372:PQQ655372 QAJ655372:QAM655372 QKF655372:QKI655372 QUB655372:QUE655372 RDX655372:REA655372 RNT655372:RNW655372 RXP655372:RXS655372 SHL655372:SHO655372 SRH655372:SRK655372 TBD655372:TBG655372 TKZ655372:TLC655372 TUV655372:TUY655372 UER655372:UEU655372 UON655372:UOQ655372 UYJ655372:UYM655372 VIF655372:VII655372 VSB655372:VSE655372 WBX655372:WCA655372 WLT655372:WLW655372 WVP655372:WVS655372 H720908:K720908 JD720908:JG720908 SZ720908:TC720908 ACV720908:ACY720908 AMR720908:AMU720908 AWN720908:AWQ720908 BGJ720908:BGM720908 BQF720908:BQI720908 CAB720908:CAE720908 CJX720908:CKA720908 CTT720908:CTW720908 DDP720908:DDS720908 DNL720908:DNO720908 DXH720908:DXK720908 EHD720908:EHG720908 EQZ720908:ERC720908 FAV720908:FAY720908 FKR720908:FKU720908 FUN720908:FUQ720908 GEJ720908:GEM720908 GOF720908:GOI720908 GYB720908:GYE720908 HHX720908:HIA720908 HRT720908:HRW720908 IBP720908:IBS720908 ILL720908:ILO720908 IVH720908:IVK720908 JFD720908:JFG720908 JOZ720908:JPC720908 JYV720908:JYY720908 KIR720908:KIU720908 KSN720908:KSQ720908 LCJ720908:LCM720908 LMF720908:LMI720908 LWB720908:LWE720908 MFX720908:MGA720908 MPT720908:MPW720908 MZP720908:MZS720908 NJL720908:NJO720908 NTH720908:NTK720908 ODD720908:ODG720908 OMZ720908:ONC720908 OWV720908:OWY720908 PGR720908:PGU720908 PQN720908:PQQ720908 QAJ720908:QAM720908 QKF720908:QKI720908 QUB720908:QUE720908 RDX720908:REA720908 RNT720908:RNW720908 RXP720908:RXS720908 SHL720908:SHO720908 SRH720908:SRK720908 TBD720908:TBG720908 TKZ720908:TLC720908 TUV720908:TUY720908 UER720908:UEU720908 UON720908:UOQ720908 UYJ720908:UYM720908 VIF720908:VII720908 VSB720908:VSE720908 WBX720908:WCA720908 WLT720908:WLW720908 WVP720908:WVS720908 H786444:K786444 JD786444:JG786444 SZ786444:TC786444 ACV786444:ACY786444 AMR786444:AMU786444 AWN786444:AWQ786444 BGJ786444:BGM786444 BQF786444:BQI786444 CAB786444:CAE786444 CJX786444:CKA786444 CTT786444:CTW786444 DDP786444:DDS786444 DNL786444:DNO786444 DXH786444:DXK786444 EHD786444:EHG786444 EQZ786444:ERC786444 FAV786444:FAY786444 FKR786444:FKU786444 FUN786444:FUQ786444 GEJ786444:GEM786444 GOF786444:GOI786444 GYB786444:GYE786444 HHX786444:HIA786444 HRT786444:HRW786444 IBP786444:IBS786444 ILL786444:ILO786444 IVH786444:IVK786444 JFD786444:JFG786444 JOZ786444:JPC786444 JYV786444:JYY786444 KIR786444:KIU786444 KSN786444:KSQ786444 LCJ786444:LCM786444 LMF786444:LMI786444 LWB786444:LWE786444 MFX786444:MGA786444 MPT786444:MPW786444 MZP786444:MZS786444 NJL786444:NJO786444 NTH786444:NTK786444 ODD786444:ODG786444 OMZ786444:ONC786444 OWV786444:OWY786444 PGR786444:PGU786444 PQN786444:PQQ786444 QAJ786444:QAM786444 QKF786444:QKI786444 QUB786444:QUE786444 RDX786444:REA786444 RNT786444:RNW786444 RXP786444:RXS786444 SHL786444:SHO786444 SRH786444:SRK786444 TBD786444:TBG786444 TKZ786444:TLC786444 TUV786444:TUY786444 UER786444:UEU786444 UON786444:UOQ786444 UYJ786444:UYM786444 VIF786444:VII786444 VSB786444:VSE786444 WBX786444:WCA786444 WLT786444:WLW786444 WVP786444:WVS786444 H851980:K851980 JD851980:JG851980 SZ851980:TC851980 ACV851980:ACY851980 AMR851980:AMU851980 AWN851980:AWQ851980 BGJ851980:BGM851980 BQF851980:BQI851980 CAB851980:CAE851980 CJX851980:CKA851980 CTT851980:CTW851980 DDP851980:DDS851980 DNL851980:DNO851980 DXH851980:DXK851980 EHD851980:EHG851980 EQZ851980:ERC851980 FAV851980:FAY851980 FKR851980:FKU851980 FUN851980:FUQ851980 GEJ851980:GEM851980 GOF851980:GOI851980 GYB851980:GYE851980 HHX851980:HIA851980 HRT851980:HRW851980 IBP851980:IBS851980 ILL851980:ILO851980 IVH851980:IVK851980 JFD851980:JFG851980 JOZ851980:JPC851980 JYV851980:JYY851980 KIR851980:KIU851980 KSN851980:KSQ851980 LCJ851980:LCM851980 LMF851980:LMI851980 LWB851980:LWE851980 MFX851980:MGA851980 MPT851980:MPW851980 MZP851980:MZS851980 NJL851980:NJO851980 NTH851980:NTK851980 ODD851980:ODG851980 OMZ851980:ONC851980 OWV851980:OWY851980 PGR851980:PGU851980 PQN851980:PQQ851980 QAJ851980:QAM851980 QKF851980:QKI851980 QUB851980:QUE851980 RDX851980:REA851980 RNT851980:RNW851980 RXP851980:RXS851980 SHL851980:SHO851980 SRH851980:SRK851980 TBD851980:TBG851980 TKZ851980:TLC851980 TUV851980:TUY851980 UER851980:UEU851980 UON851980:UOQ851980 UYJ851980:UYM851980 VIF851980:VII851980 VSB851980:VSE851980 WBX851980:WCA851980 WLT851980:WLW851980 WVP851980:WVS851980 H917516:K917516 JD917516:JG917516 SZ917516:TC917516 ACV917516:ACY917516 AMR917516:AMU917516 AWN917516:AWQ917516 BGJ917516:BGM917516 BQF917516:BQI917516 CAB917516:CAE917516 CJX917516:CKA917516 CTT917516:CTW917516 DDP917516:DDS917516 DNL917516:DNO917516 DXH917516:DXK917516 EHD917516:EHG917516 EQZ917516:ERC917516 FAV917516:FAY917516 FKR917516:FKU917516 FUN917516:FUQ917516 GEJ917516:GEM917516 GOF917516:GOI917516 GYB917516:GYE917516 HHX917516:HIA917516 HRT917516:HRW917516 IBP917516:IBS917516 ILL917516:ILO917516 IVH917516:IVK917516 JFD917516:JFG917516 JOZ917516:JPC917516 JYV917516:JYY917516 KIR917516:KIU917516 KSN917516:KSQ917516 LCJ917516:LCM917516 LMF917516:LMI917516 LWB917516:LWE917516 MFX917516:MGA917516 MPT917516:MPW917516 MZP917516:MZS917516 NJL917516:NJO917516 NTH917516:NTK917516 ODD917516:ODG917516 OMZ917516:ONC917516 OWV917516:OWY917516 PGR917516:PGU917516 PQN917516:PQQ917516 QAJ917516:QAM917516 QKF917516:QKI917516 QUB917516:QUE917516 RDX917516:REA917516 RNT917516:RNW917516 RXP917516:RXS917516 SHL917516:SHO917516 SRH917516:SRK917516 TBD917516:TBG917516 TKZ917516:TLC917516 TUV917516:TUY917516 UER917516:UEU917516 UON917516:UOQ917516 UYJ917516:UYM917516 VIF917516:VII917516 VSB917516:VSE917516 WBX917516:WCA917516 WLT917516:WLW917516 WVP917516:WVS917516 H983052:K983052 JD983052:JG983052 SZ983052:TC983052 ACV983052:ACY983052 AMR983052:AMU983052 AWN983052:AWQ983052 BGJ983052:BGM983052 BQF983052:BQI983052 CAB983052:CAE983052 CJX983052:CKA983052 CTT983052:CTW983052 DDP983052:DDS983052 DNL983052:DNO983052 DXH983052:DXK983052 EHD983052:EHG983052 EQZ983052:ERC983052 FAV983052:FAY983052 FKR983052:FKU983052 FUN983052:FUQ983052 GEJ983052:GEM983052 GOF983052:GOI983052 GYB983052:GYE983052 HHX983052:HIA983052 HRT983052:HRW983052 IBP983052:IBS983052 ILL983052:ILO983052 IVH983052:IVK983052 JFD983052:JFG983052 JOZ983052:JPC983052 JYV983052:JYY983052 KIR983052:KIU983052 KSN983052:KSQ983052 LCJ983052:LCM983052 LMF983052:LMI983052 LWB983052:LWE983052 MFX983052:MGA983052 MPT983052:MPW983052 MZP983052:MZS983052 NJL983052:NJO983052 NTH983052:NTK983052 ODD983052:ODG983052 OMZ983052:ONC983052 OWV983052:OWY983052 PGR983052:PGU983052 PQN983052:PQQ983052 QAJ983052:QAM983052 QKF983052:QKI983052 QUB983052:QUE983052 RDX983052:REA983052 RNT983052:RNW983052 RXP983052:RXS983052 SHL983052:SHO983052 SRH983052:SRK983052 TBD983052:TBG983052 TKZ983052:TLC983052 TUV983052:TUY983052 UER983052:UEU983052 UON983052:UOQ983052 UYJ983052:UYM983052 VIF983052:VII983052 VSB983052:VSE983052 WBX983052:WCA983052 WLT983052:WLW983052 WVP983052:WVS983052 H26:K26 JD26:JG26 SZ26:TC26 ACV26:ACY26 AMR26:AMU26 AWN26:AWQ26 BGJ26:BGM26 BQF26:BQI26 CAB26:CAE26 CJX26:CKA26 CTT26:CTW26 DDP26:DDS26 DNL26:DNO26 DXH26:DXK26 EHD26:EHG26 EQZ26:ERC26 FAV26:FAY26 FKR26:FKU26 FUN26:FUQ26 GEJ26:GEM26 GOF26:GOI26 GYB26:GYE26 HHX26:HIA26 HRT26:HRW26 IBP26:IBS26 ILL26:ILO26 IVH26:IVK26 JFD26:JFG26 JOZ26:JPC26 JYV26:JYY26 KIR26:KIU26 KSN26:KSQ26 LCJ26:LCM26 LMF26:LMI26 LWB26:LWE26 MFX26:MGA26 MPT26:MPW26 MZP26:MZS26 NJL26:NJO26 NTH26:NTK26 ODD26:ODG26 OMZ26:ONC26 OWV26:OWY26 PGR26:PGU26 PQN26:PQQ26 QAJ26:QAM26 QKF26:QKI26 QUB26:QUE26 RDX26:REA26 RNT26:RNW26 RXP26:RXS26 SHL26:SHO26 SRH26:SRK26 TBD26:TBG26 TKZ26:TLC26 TUV26:TUY26 UER26:UEU26 UON26:UOQ26 UYJ26:UYM26 VIF26:VII26 VSB26:VSE26 WBX26:WCA26 WLT26:WLW26 WVP26:WVS26 H65562:K65562 JD65562:JG65562 SZ65562:TC65562 ACV65562:ACY65562 AMR65562:AMU65562 AWN65562:AWQ65562 BGJ65562:BGM65562 BQF65562:BQI65562 CAB65562:CAE65562 CJX65562:CKA65562 CTT65562:CTW65562 DDP65562:DDS65562 DNL65562:DNO65562 DXH65562:DXK65562 EHD65562:EHG65562 EQZ65562:ERC65562 FAV65562:FAY65562 FKR65562:FKU65562 FUN65562:FUQ65562 GEJ65562:GEM65562 GOF65562:GOI65562 GYB65562:GYE65562 HHX65562:HIA65562 HRT65562:HRW65562 IBP65562:IBS65562 ILL65562:ILO65562 IVH65562:IVK65562 JFD65562:JFG65562 JOZ65562:JPC65562 JYV65562:JYY65562 KIR65562:KIU65562 KSN65562:KSQ65562 LCJ65562:LCM65562 LMF65562:LMI65562 LWB65562:LWE65562 MFX65562:MGA65562 MPT65562:MPW65562 MZP65562:MZS65562 NJL65562:NJO65562 NTH65562:NTK65562 ODD65562:ODG65562 OMZ65562:ONC65562 OWV65562:OWY65562 PGR65562:PGU65562 PQN65562:PQQ65562 QAJ65562:QAM65562 QKF65562:QKI65562 QUB65562:QUE65562 RDX65562:REA65562 RNT65562:RNW65562 RXP65562:RXS65562 SHL65562:SHO65562 SRH65562:SRK65562 TBD65562:TBG65562 TKZ65562:TLC65562 TUV65562:TUY65562 UER65562:UEU65562 UON65562:UOQ65562 UYJ65562:UYM65562 VIF65562:VII65562 VSB65562:VSE65562 WBX65562:WCA65562 WLT65562:WLW65562 WVP65562:WVS65562 H131098:K131098 JD131098:JG131098 SZ131098:TC131098 ACV131098:ACY131098 AMR131098:AMU131098 AWN131098:AWQ131098 BGJ131098:BGM131098 BQF131098:BQI131098 CAB131098:CAE131098 CJX131098:CKA131098 CTT131098:CTW131098 DDP131098:DDS131098 DNL131098:DNO131098 DXH131098:DXK131098 EHD131098:EHG131098 EQZ131098:ERC131098 FAV131098:FAY131098 FKR131098:FKU131098 FUN131098:FUQ131098 GEJ131098:GEM131098 GOF131098:GOI131098 GYB131098:GYE131098 HHX131098:HIA131098 HRT131098:HRW131098 IBP131098:IBS131098 ILL131098:ILO131098 IVH131098:IVK131098 JFD131098:JFG131098 JOZ131098:JPC131098 JYV131098:JYY131098 KIR131098:KIU131098 KSN131098:KSQ131098 LCJ131098:LCM131098 LMF131098:LMI131098 LWB131098:LWE131098 MFX131098:MGA131098 MPT131098:MPW131098 MZP131098:MZS131098 NJL131098:NJO131098 NTH131098:NTK131098 ODD131098:ODG131098 OMZ131098:ONC131098 OWV131098:OWY131098 PGR131098:PGU131098 PQN131098:PQQ131098 QAJ131098:QAM131098 QKF131098:QKI131098 QUB131098:QUE131098 RDX131098:REA131098 RNT131098:RNW131098 RXP131098:RXS131098 SHL131098:SHO131098 SRH131098:SRK131098 TBD131098:TBG131098 TKZ131098:TLC131098 TUV131098:TUY131098 UER131098:UEU131098 UON131098:UOQ131098 UYJ131098:UYM131098 VIF131098:VII131098 VSB131098:VSE131098 WBX131098:WCA131098 WLT131098:WLW131098 WVP131098:WVS131098 H196634:K196634 JD196634:JG196634 SZ196634:TC196634 ACV196634:ACY196634 AMR196634:AMU196634 AWN196634:AWQ196634 BGJ196634:BGM196634 BQF196634:BQI196634 CAB196634:CAE196634 CJX196634:CKA196634 CTT196634:CTW196634 DDP196634:DDS196634 DNL196634:DNO196634 DXH196634:DXK196634 EHD196634:EHG196634 EQZ196634:ERC196634 FAV196634:FAY196634 FKR196634:FKU196634 FUN196634:FUQ196634 GEJ196634:GEM196634 GOF196634:GOI196634 GYB196634:GYE196634 HHX196634:HIA196634 HRT196634:HRW196634 IBP196634:IBS196634 ILL196634:ILO196634 IVH196634:IVK196634 JFD196634:JFG196634 JOZ196634:JPC196634 JYV196634:JYY196634 KIR196634:KIU196634 KSN196634:KSQ196634 LCJ196634:LCM196634 LMF196634:LMI196634 LWB196634:LWE196634 MFX196634:MGA196634 MPT196634:MPW196634 MZP196634:MZS196634 NJL196634:NJO196634 NTH196634:NTK196634 ODD196634:ODG196634 OMZ196634:ONC196634 OWV196634:OWY196634 PGR196634:PGU196634 PQN196634:PQQ196634 QAJ196634:QAM196634 QKF196634:QKI196634 QUB196634:QUE196634 RDX196634:REA196634 RNT196634:RNW196634 RXP196634:RXS196634 SHL196634:SHO196634 SRH196634:SRK196634 TBD196634:TBG196634 TKZ196634:TLC196634 TUV196634:TUY196634 UER196634:UEU196634 UON196634:UOQ196634 UYJ196634:UYM196634 VIF196634:VII196634 VSB196634:VSE196634 WBX196634:WCA196634 WLT196634:WLW196634 WVP196634:WVS196634 H262170:K262170 JD262170:JG262170 SZ262170:TC262170 ACV262170:ACY262170 AMR262170:AMU262170 AWN262170:AWQ262170 BGJ262170:BGM262170 BQF262170:BQI262170 CAB262170:CAE262170 CJX262170:CKA262170 CTT262170:CTW262170 DDP262170:DDS262170 DNL262170:DNO262170 DXH262170:DXK262170 EHD262170:EHG262170 EQZ262170:ERC262170 FAV262170:FAY262170 FKR262170:FKU262170 FUN262170:FUQ262170 GEJ262170:GEM262170 GOF262170:GOI262170 GYB262170:GYE262170 HHX262170:HIA262170 HRT262170:HRW262170 IBP262170:IBS262170 ILL262170:ILO262170 IVH262170:IVK262170 JFD262170:JFG262170 JOZ262170:JPC262170 JYV262170:JYY262170 KIR262170:KIU262170 KSN262170:KSQ262170 LCJ262170:LCM262170 LMF262170:LMI262170 LWB262170:LWE262170 MFX262170:MGA262170 MPT262170:MPW262170 MZP262170:MZS262170 NJL262170:NJO262170 NTH262170:NTK262170 ODD262170:ODG262170 OMZ262170:ONC262170 OWV262170:OWY262170 PGR262170:PGU262170 PQN262170:PQQ262170 QAJ262170:QAM262170 QKF262170:QKI262170 QUB262170:QUE262170 RDX262170:REA262170 RNT262170:RNW262170 RXP262170:RXS262170 SHL262170:SHO262170 SRH262170:SRK262170 TBD262170:TBG262170 TKZ262170:TLC262170 TUV262170:TUY262170 UER262170:UEU262170 UON262170:UOQ262170 UYJ262170:UYM262170 VIF262170:VII262170 VSB262170:VSE262170 WBX262170:WCA262170 WLT262170:WLW262170 WVP262170:WVS262170 H327706:K327706 JD327706:JG327706 SZ327706:TC327706 ACV327706:ACY327706 AMR327706:AMU327706 AWN327706:AWQ327706 BGJ327706:BGM327706 BQF327706:BQI327706 CAB327706:CAE327706 CJX327706:CKA327706 CTT327706:CTW327706 DDP327706:DDS327706 DNL327706:DNO327706 DXH327706:DXK327706 EHD327706:EHG327706 EQZ327706:ERC327706 FAV327706:FAY327706 FKR327706:FKU327706 FUN327706:FUQ327706 GEJ327706:GEM327706 GOF327706:GOI327706 GYB327706:GYE327706 HHX327706:HIA327706 HRT327706:HRW327706 IBP327706:IBS327706 ILL327706:ILO327706 IVH327706:IVK327706 JFD327706:JFG327706 JOZ327706:JPC327706 JYV327706:JYY327706 KIR327706:KIU327706 KSN327706:KSQ327706 LCJ327706:LCM327706 LMF327706:LMI327706 LWB327706:LWE327706 MFX327706:MGA327706 MPT327706:MPW327706 MZP327706:MZS327706 NJL327706:NJO327706 NTH327706:NTK327706 ODD327706:ODG327706 OMZ327706:ONC327706 OWV327706:OWY327706 PGR327706:PGU327706 PQN327706:PQQ327706 QAJ327706:QAM327706 QKF327706:QKI327706 QUB327706:QUE327706 RDX327706:REA327706 RNT327706:RNW327706 RXP327706:RXS327706 SHL327706:SHO327706 SRH327706:SRK327706 TBD327706:TBG327706 TKZ327706:TLC327706 TUV327706:TUY327706 UER327706:UEU327706 UON327706:UOQ327706 UYJ327706:UYM327706 VIF327706:VII327706 VSB327706:VSE327706 WBX327706:WCA327706 WLT327706:WLW327706 WVP327706:WVS327706 H393242:K393242 JD393242:JG393242 SZ393242:TC393242 ACV393242:ACY393242 AMR393242:AMU393242 AWN393242:AWQ393242 BGJ393242:BGM393242 BQF393242:BQI393242 CAB393242:CAE393242 CJX393242:CKA393242 CTT393242:CTW393242 DDP393242:DDS393242 DNL393242:DNO393242 DXH393242:DXK393242 EHD393242:EHG393242 EQZ393242:ERC393242 FAV393242:FAY393242 FKR393242:FKU393242 FUN393242:FUQ393242 GEJ393242:GEM393242 GOF393242:GOI393242 GYB393242:GYE393242 HHX393242:HIA393242 HRT393242:HRW393242 IBP393242:IBS393242 ILL393242:ILO393242 IVH393242:IVK393242 JFD393242:JFG393242 JOZ393242:JPC393242 JYV393242:JYY393242 KIR393242:KIU393242 KSN393242:KSQ393242 LCJ393242:LCM393242 LMF393242:LMI393242 LWB393242:LWE393242 MFX393242:MGA393242 MPT393242:MPW393242 MZP393242:MZS393242 NJL393242:NJO393242 NTH393242:NTK393242 ODD393242:ODG393242 OMZ393242:ONC393242 OWV393242:OWY393242 PGR393242:PGU393242 PQN393242:PQQ393242 QAJ393242:QAM393242 QKF393242:QKI393242 QUB393242:QUE393242 RDX393242:REA393242 RNT393242:RNW393242 RXP393242:RXS393242 SHL393242:SHO393242 SRH393242:SRK393242 TBD393242:TBG393242 TKZ393242:TLC393242 TUV393242:TUY393242 UER393242:UEU393242 UON393242:UOQ393242 UYJ393242:UYM393242 VIF393242:VII393242 VSB393242:VSE393242 WBX393242:WCA393242 WLT393242:WLW393242 WVP393242:WVS393242 H458778:K458778 JD458778:JG458778 SZ458778:TC458778 ACV458778:ACY458778 AMR458778:AMU458778 AWN458778:AWQ458778 BGJ458778:BGM458778 BQF458778:BQI458778 CAB458778:CAE458778 CJX458778:CKA458778 CTT458778:CTW458778 DDP458778:DDS458778 DNL458778:DNO458778 DXH458778:DXK458778 EHD458778:EHG458778 EQZ458778:ERC458778 FAV458778:FAY458778 FKR458778:FKU458778 FUN458778:FUQ458778 GEJ458778:GEM458778 GOF458778:GOI458778 GYB458778:GYE458778 HHX458778:HIA458778 HRT458778:HRW458778 IBP458778:IBS458778 ILL458778:ILO458778 IVH458778:IVK458778 JFD458778:JFG458778 JOZ458778:JPC458778 JYV458778:JYY458778 KIR458778:KIU458778 KSN458778:KSQ458778 LCJ458778:LCM458778 LMF458778:LMI458778 LWB458778:LWE458778 MFX458778:MGA458778 MPT458778:MPW458778 MZP458778:MZS458778 NJL458778:NJO458778 NTH458778:NTK458778 ODD458778:ODG458778 OMZ458778:ONC458778 OWV458778:OWY458778 PGR458778:PGU458778 PQN458778:PQQ458778 QAJ458778:QAM458778 QKF458778:QKI458778 QUB458778:QUE458778 RDX458778:REA458778 RNT458778:RNW458778 RXP458778:RXS458778 SHL458778:SHO458778 SRH458778:SRK458778 TBD458778:TBG458778 TKZ458778:TLC458778 TUV458778:TUY458778 UER458778:UEU458778 UON458778:UOQ458778 UYJ458778:UYM458778 VIF458778:VII458778 VSB458778:VSE458778 WBX458778:WCA458778 WLT458778:WLW458778 WVP458778:WVS458778 H524314:K524314 JD524314:JG524314 SZ524314:TC524314 ACV524314:ACY524314 AMR524314:AMU524314 AWN524314:AWQ524314 BGJ524314:BGM524314 BQF524314:BQI524314 CAB524314:CAE524314 CJX524314:CKA524314 CTT524314:CTW524314 DDP524314:DDS524314 DNL524314:DNO524314 DXH524314:DXK524314 EHD524314:EHG524314 EQZ524314:ERC524314 FAV524314:FAY524314 FKR524314:FKU524314 FUN524314:FUQ524314 GEJ524314:GEM524314 GOF524314:GOI524314 GYB524314:GYE524314 HHX524314:HIA524314 HRT524314:HRW524314 IBP524314:IBS524314 ILL524314:ILO524314 IVH524314:IVK524314 JFD524314:JFG524314 JOZ524314:JPC524314 JYV524314:JYY524314 KIR524314:KIU524314 KSN524314:KSQ524314 LCJ524314:LCM524314 LMF524314:LMI524314 LWB524314:LWE524314 MFX524314:MGA524314 MPT524314:MPW524314 MZP524314:MZS524314 NJL524314:NJO524314 NTH524314:NTK524314 ODD524314:ODG524314 OMZ524314:ONC524314 OWV524314:OWY524314 PGR524314:PGU524314 PQN524314:PQQ524314 QAJ524314:QAM524314 QKF524314:QKI524314 QUB524314:QUE524314 RDX524314:REA524314 RNT524314:RNW524314 RXP524314:RXS524314 SHL524314:SHO524314 SRH524314:SRK524314 TBD524314:TBG524314 TKZ524314:TLC524314 TUV524314:TUY524314 UER524314:UEU524314 UON524314:UOQ524314 UYJ524314:UYM524314 VIF524314:VII524314 VSB524314:VSE524314 WBX524314:WCA524314 WLT524314:WLW524314 WVP524314:WVS524314 H589850:K589850 JD589850:JG589850 SZ589850:TC589850 ACV589850:ACY589850 AMR589850:AMU589850 AWN589850:AWQ589850 BGJ589850:BGM589850 BQF589850:BQI589850 CAB589850:CAE589850 CJX589850:CKA589850 CTT589850:CTW589850 DDP589850:DDS589850 DNL589850:DNO589850 DXH589850:DXK589850 EHD589850:EHG589850 EQZ589850:ERC589850 FAV589850:FAY589850 FKR589850:FKU589850 FUN589850:FUQ589850 GEJ589850:GEM589850 GOF589850:GOI589850 GYB589850:GYE589850 HHX589850:HIA589850 HRT589850:HRW589850 IBP589850:IBS589850 ILL589850:ILO589850 IVH589850:IVK589850 JFD589850:JFG589850 JOZ589850:JPC589850 JYV589850:JYY589850 KIR589850:KIU589850 KSN589850:KSQ589850 LCJ589850:LCM589850 LMF589850:LMI589850 LWB589850:LWE589850 MFX589850:MGA589850 MPT589850:MPW589850 MZP589850:MZS589850 NJL589850:NJO589850 NTH589850:NTK589850 ODD589850:ODG589850 OMZ589850:ONC589850 OWV589850:OWY589850 PGR589850:PGU589850 PQN589850:PQQ589850 QAJ589850:QAM589850 QKF589850:QKI589850 QUB589850:QUE589850 RDX589850:REA589850 RNT589850:RNW589850 RXP589850:RXS589850 SHL589850:SHO589850 SRH589850:SRK589850 TBD589850:TBG589850 TKZ589850:TLC589850 TUV589850:TUY589850 UER589850:UEU589850 UON589850:UOQ589850 UYJ589850:UYM589850 VIF589850:VII589850 VSB589850:VSE589850 WBX589850:WCA589850 WLT589850:WLW589850 WVP589850:WVS589850 H655386:K655386 JD655386:JG655386 SZ655386:TC655386 ACV655386:ACY655386 AMR655386:AMU655386 AWN655386:AWQ655386 BGJ655386:BGM655386 BQF655386:BQI655386 CAB655386:CAE655386 CJX655386:CKA655386 CTT655386:CTW655386 DDP655386:DDS655386 DNL655386:DNO655386 DXH655386:DXK655386 EHD655386:EHG655386 EQZ655386:ERC655386 FAV655386:FAY655386 FKR655386:FKU655386 FUN655386:FUQ655386 GEJ655386:GEM655386 GOF655386:GOI655386 GYB655386:GYE655386 HHX655386:HIA655386 HRT655386:HRW655386 IBP655386:IBS655386 ILL655386:ILO655386 IVH655386:IVK655386 JFD655386:JFG655386 JOZ655386:JPC655386 JYV655386:JYY655386 KIR655386:KIU655386 KSN655386:KSQ655386 LCJ655386:LCM655386 LMF655386:LMI655386 LWB655386:LWE655386 MFX655386:MGA655386 MPT655386:MPW655386 MZP655386:MZS655386 NJL655386:NJO655386 NTH655386:NTK655386 ODD655386:ODG655386 OMZ655386:ONC655386 OWV655386:OWY655386 PGR655386:PGU655386 PQN655386:PQQ655386 QAJ655386:QAM655386 QKF655386:QKI655386 QUB655386:QUE655386 RDX655386:REA655386 RNT655386:RNW655386 RXP655386:RXS655386 SHL655386:SHO655386 SRH655386:SRK655386 TBD655386:TBG655386 TKZ655386:TLC655386 TUV655386:TUY655386 UER655386:UEU655386 UON655386:UOQ655386 UYJ655386:UYM655386 VIF655386:VII655386 VSB655386:VSE655386 WBX655386:WCA655386 WLT655386:WLW655386 WVP655386:WVS655386 H720922:K720922 JD720922:JG720922 SZ720922:TC720922 ACV720922:ACY720922 AMR720922:AMU720922 AWN720922:AWQ720922 BGJ720922:BGM720922 BQF720922:BQI720922 CAB720922:CAE720922 CJX720922:CKA720922 CTT720922:CTW720922 DDP720922:DDS720922 DNL720922:DNO720922 DXH720922:DXK720922 EHD720922:EHG720922 EQZ720922:ERC720922 FAV720922:FAY720922 FKR720922:FKU720922 FUN720922:FUQ720922 GEJ720922:GEM720922 GOF720922:GOI720922 GYB720922:GYE720922 HHX720922:HIA720922 HRT720922:HRW720922 IBP720922:IBS720922 ILL720922:ILO720922 IVH720922:IVK720922 JFD720922:JFG720922 JOZ720922:JPC720922 JYV720922:JYY720922 KIR720922:KIU720922 KSN720922:KSQ720922 LCJ720922:LCM720922 LMF720922:LMI720922 LWB720922:LWE720922 MFX720922:MGA720922 MPT720922:MPW720922 MZP720922:MZS720922 NJL720922:NJO720922 NTH720922:NTK720922 ODD720922:ODG720922 OMZ720922:ONC720922 OWV720922:OWY720922 PGR720922:PGU720922 PQN720922:PQQ720922 QAJ720922:QAM720922 QKF720922:QKI720922 QUB720922:QUE720922 RDX720922:REA720922 RNT720922:RNW720922 RXP720922:RXS720922 SHL720922:SHO720922 SRH720922:SRK720922 TBD720922:TBG720922 TKZ720922:TLC720922 TUV720922:TUY720922 UER720922:UEU720922 UON720922:UOQ720922 UYJ720922:UYM720922 VIF720922:VII720922 VSB720922:VSE720922 WBX720922:WCA720922 WLT720922:WLW720922 WVP720922:WVS720922 H786458:K786458 JD786458:JG786458 SZ786458:TC786458 ACV786458:ACY786458 AMR786458:AMU786458 AWN786458:AWQ786458 BGJ786458:BGM786458 BQF786458:BQI786458 CAB786458:CAE786458 CJX786458:CKA786458 CTT786458:CTW786458 DDP786458:DDS786458 DNL786458:DNO786458 DXH786458:DXK786458 EHD786458:EHG786458 EQZ786458:ERC786458 FAV786458:FAY786458 FKR786458:FKU786458 FUN786458:FUQ786458 GEJ786458:GEM786458 GOF786458:GOI786458 GYB786458:GYE786458 HHX786458:HIA786458 HRT786458:HRW786458 IBP786458:IBS786458 ILL786458:ILO786458 IVH786458:IVK786458 JFD786458:JFG786458 JOZ786458:JPC786458 JYV786458:JYY786458 KIR786458:KIU786458 KSN786458:KSQ786458 LCJ786458:LCM786458 LMF786458:LMI786458 LWB786458:LWE786458 MFX786458:MGA786458 MPT786458:MPW786458 MZP786458:MZS786458 NJL786458:NJO786458 NTH786458:NTK786458 ODD786458:ODG786458 OMZ786458:ONC786458 OWV786458:OWY786458 PGR786458:PGU786458 PQN786458:PQQ786458 QAJ786458:QAM786458 QKF786458:QKI786458 QUB786458:QUE786458 RDX786458:REA786458 RNT786458:RNW786458 RXP786458:RXS786458 SHL786458:SHO786458 SRH786458:SRK786458 TBD786458:TBG786458 TKZ786458:TLC786458 TUV786458:TUY786458 UER786458:UEU786458 UON786458:UOQ786458 UYJ786458:UYM786458 VIF786458:VII786458 VSB786458:VSE786458 WBX786458:WCA786458 WLT786458:WLW786458 WVP786458:WVS786458 H851994:K851994 JD851994:JG851994 SZ851994:TC851994 ACV851994:ACY851994 AMR851994:AMU851994 AWN851994:AWQ851994 BGJ851994:BGM851994 BQF851994:BQI851994 CAB851994:CAE851994 CJX851994:CKA851994 CTT851994:CTW851994 DDP851994:DDS851994 DNL851994:DNO851994 DXH851994:DXK851994 EHD851994:EHG851994 EQZ851994:ERC851994 FAV851994:FAY851994 FKR851994:FKU851994 FUN851994:FUQ851994 GEJ851994:GEM851994 GOF851994:GOI851994 GYB851994:GYE851994 HHX851994:HIA851994 HRT851994:HRW851994 IBP851994:IBS851994 ILL851994:ILO851994 IVH851994:IVK851994 JFD851994:JFG851994 JOZ851994:JPC851994 JYV851994:JYY851994 KIR851994:KIU851994 KSN851994:KSQ851994 LCJ851994:LCM851994 LMF851994:LMI851994 LWB851994:LWE851994 MFX851994:MGA851994 MPT851994:MPW851994 MZP851994:MZS851994 NJL851994:NJO851994 NTH851994:NTK851994 ODD851994:ODG851994 OMZ851994:ONC851994 OWV851994:OWY851994 PGR851994:PGU851994 PQN851994:PQQ851994 QAJ851994:QAM851994 QKF851994:QKI851994 QUB851994:QUE851994 RDX851994:REA851994 RNT851994:RNW851994 RXP851994:RXS851994 SHL851994:SHO851994 SRH851994:SRK851994 TBD851994:TBG851994 TKZ851994:TLC851994 TUV851994:TUY851994 UER851994:UEU851994 UON851994:UOQ851994 UYJ851994:UYM851994 VIF851994:VII851994 VSB851994:VSE851994 WBX851994:WCA851994 WLT851994:WLW851994 WVP851994:WVS851994 H917530:K917530 JD917530:JG917530 SZ917530:TC917530 ACV917530:ACY917530 AMR917530:AMU917530 AWN917530:AWQ917530 BGJ917530:BGM917530 BQF917530:BQI917530 CAB917530:CAE917530 CJX917530:CKA917530 CTT917530:CTW917530 DDP917530:DDS917530 DNL917530:DNO917530 DXH917530:DXK917530 EHD917530:EHG917530 EQZ917530:ERC917530 FAV917530:FAY917530 FKR917530:FKU917530 FUN917530:FUQ917530 GEJ917530:GEM917530 GOF917530:GOI917530 GYB917530:GYE917530 HHX917530:HIA917530 HRT917530:HRW917530 IBP917530:IBS917530 ILL917530:ILO917530 IVH917530:IVK917530 JFD917530:JFG917530 JOZ917530:JPC917530 JYV917530:JYY917530 KIR917530:KIU917530 KSN917530:KSQ917530 LCJ917530:LCM917530 LMF917530:LMI917530 LWB917530:LWE917530 MFX917530:MGA917530 MPT917530:MPW917530 MZP917530:MZS917530 NJL917530:NJO917530 NTH917530:NTK917530 ODD917530:ODG917530 OMZ917530:ONC917530 OWV917530:OWY917530 PGR917530:PGU917530 PQN917530:PQQ917530 QAJ917530:QAM917530 QKF917530:QKI917530 QUB917530:QUE917530 RDX917530:REA917530 RNT917530:RNW917530 RXP917530:RXS917530 SHL917530:SHO917530 SRH917530:SRK917530 TBD917530:TBG917530 TKZ917530:TLC917530 TUV917530:TUY917530 UER917530:UEU917530 UON917530:UOQ917530 UYJ917530:UYM917530 VIF917530:VII917530 VSB917530:VSE917530 WBX917530:WCA917530 WLT917530:WLW917530 WVP917530:WVS917530 H983066:K983066 JD983066:JG983066 SZ983066:TC983066 ACV983066:ACY983066 AMR983066:AMU983066 AWN983066:AWQ983066 BGJ983066:BGM983066 BQF983066:BQI983066 CAB983066:CAE983066 CJX983066:CKA983066 CTT983066:CTW983066 DDP983066:DDS983066 DNL983066:DNO983066 DXH983066:DXK983066 EHD983066:EHG983066 EQZ983066:ERC983066 FAV983066:FAY983066 FKR983066:FKU983066 FUN983066:FUQ983066 GEJ983066:GEM983066 GOF983066:GOI983066 GYB983066:GYE983066 HHX983066:HIA983066 HRT983066:HRW983066 IBP983066:IBS983066 ILL983066:ILO983066 IVH983066:IVK983066 JFD983066:JFG983066 JOZ983066:JPC983066 JYV983066:JYY983066 KIR983066:KIU983066 KSN983066:KSQ983066 LCJ983066:LCM983066 LMF983066:LMI983066 LWB983066:LWE983066 MFX983066:MGA983066 MPT983066:MPW983066 MZP983066:MZS983066 NJL983066:NJO983066 NTH983066:NTK983066 ODD983066:ODG983066 OMZ983066:ONC983066 OWV983066:OWY983066 PGR983066:PGU983066 PQN983066:PQQ983066 QAJ983066:QAM983066 QKF983066:QKI983066 QUB983066:QUE983066 RDX983066:REA983066 RNT983066:RNW983066 RXP983066:RXS983066 SHL983066:SHO983066 SRH983066:SRK983066 TBD983066:TBG983066 TKZ983066:TLC983066 TUV983066:TUY983066 UER983066:UEU983066 UON983066:UOQ983066 UYJ983066:UYM983066 VIF983066:VII983066 VSB983066:VSE983066 WBX983066:WCA983066 WLT983066:WLW983066 WVP983066:WVS983066 M28:P28 JI28:JL28 TE28:TH28 ADA28:ADD28 AMW28:AMZ28 AWS28:AWV28 BGO28:BGR28 BQK28:BQN28 CAG28:CAJ28 CKC28:CKF28 CTY28:CUB28 DDU28:DDX28 DNQ28:DNT28 DXM28:DXP28 EHI28:EHL28 ERE28:ERH28 FBA28:FBD28 FKW28:FKZ28 FUS28:FUV28 GEO28:GER28 GOK28:GON28 GYG28:GYJ28 HIC28:HIF28 HRY28:HSB28 IBU28:IBX28 ILQ28:ILT28 IVM28:IVP28 JFI28:JFL28 JPE28:JPH28 JZA28:JZD28 KIW28:KIZ28 KSS28:KSV28 LCO28:LCR28 LMK28:LMN28 LWG28:LWJ28 MGC28:MGF28 MPY28:MQB28 MZU28:MZX28 NJQ28:NJT28 NTM28:NTP28 ODI28:ODL28 ONE28:ONH28 OXA28:OXD28 PGW28:PGZ28 PQS28:PQV28 QAO28:QAR28 QKK28:QKN28 QUG28:QUJ28 REC28:REF28 RNY28:ROB28 RXU28:RXX28 SHQ28:SHT28 SRM28:SRP28 TBI28:TBL28 TLE28:TLH28 TVA28:TVD28 UEW28:UEZ28 UOS28:UOV28 UYO28:UYR28 VIK28:VIN28 VSG28:VSJ28 WCC28:WCF28 WLY28:WMB28 WVU28:WVX28 M65564:P65564 JI65564:JL65564 TE65564:TH65564 ADA65564:ADD65564 AMW65564:AMZ65564 AWS65564:AWV65564 BGO65564:BGR65564 BQK65564:BQN65564 CAG65564:CAJ65564 CKC65564:CKF65564 CTY65564:CUB65564 DDU65564:DDX65564 DNQ65564:DNT65564 DXM65564:DXP65564 EHI65564:EHL65564 ERE65564:ERH65564 FBA65564:FBD65564 FKW65564:FKZ65564 FUS65564:FUV65564 GEO65564:GER65564 GOK65564:GON65564 GYG65564:GYJ65564 HIC65564:HIF65564 HRY65564:HSB65564 IBU65564:IBX65564 ILQ65564:ILT65564 IVM65564:IVP65564 JFI65564:JFL65564 JPE65564:JPH65564 JZA65564:JZD65564 KIW65564:KIZ65564 KSS65564:KSV65564 LCO65564:LCR65564 LMK65564:LMN65564 LWG65564:LWJ65564 MGC65564:MGF65564 MPY65564:MQB65564 MZU65564:MZX65564 NJQ65564:NJT65564 NTM65564:NTP65564 ODI65564:ODL65564 ONE65564:ONH65564 OXA65564:OXD65564 PGW65564:PGZ65564 PQS65564:PQV65564 QAO65564:QAR65564 QKK65564:QKN65564 QUG65564:QUJ65564 REC65564:REF65564 RNY65564:ROB65564 RXU65564:RXX65564 SHQ65564:SHT65564 SRM65564:SRP65564 TBI65564:TBL65564 TLE65564:TLH65564 TVA65564:TVD65564 UEW65564:UEZ65564 UOS65564:UOV65564 UYO65564:UYR65564 VIK65564:VIN65564 VSG65564:VSJ65564 WCC65564:WCF65564 WLY65564:WMB65564 WVU65564:WVX65564 M131100:P131100 JI131100:JL131100 TE131100:TH131100 ADA131100:ADD131100 AMW131100:AMZ131100 AWS131100:AWV131100 BGO131100:BGR131100 BQK131100:BQN131100 CAG131100:CAJ131100 CKC131100:CKF131100 CTY131100:CUB131100 DDU131100:DDX131100 DNQ131100:DNT131100 DXM131100:DXP131100 EHI131100:EHL131100 ERE131100:ERH131100 FBA131100:FBD131100 FKW131100:FKZ131100 FUS131100:FUV131100 GEO131100:GER131100 GOK131100:GON131100 GYG131100:GYJ131100 HIC131100:HIF131100 HRY131100:HSB131100 IBU131100:IBX131100 ILQ131100:ILT131100 IVM131100:IVP131100 JFI131100:JFL131100 JPE131100:JPH131100 JZA131100:JZD131100 KIW131100:KIZ131100 KSS131100:KSV131100 LCO131100:LCR131100 LMK131100:LMN131100 LWG131100:LWJ131100 MGC131100:MGF131100 MPY131100:MQB131100 MZU131100:MZX131100 NJQ131100:NJT131100 NTM131100:NTP131100 ODI131100:ODL131100 ONE131100:ONH131100 OXA131100:OXD131100 PGW131100:PGZ131100 PQS131100:PQV131100 QAO131100:QAR131100 QKK131100:QKN131100 QUG131100:QUJ131100 REC131100:REF131100 RNY131100:ROB131100 RXU131100:RXX131100 SHQ131100:SHT131100 SRM131100:SRP131100 TBI131100:TBL131100 TLE131100:TLH131100 TVA131100:TVD131100 UEW131100:UEZ131100 UOS131100:UOV131100 UYO131100:UYR131100 VIK131100:VIN131100 VSG131100:VSJ131100 WCC131100:WCF131100 WLY131100:WMB131100 WVU131100:WVX131100 M196636:P196636 JI196636:JL196636 TE196636:TH196636 ADA196636:ADD196636 AMW196636:AMZ196636 AWS196636:AWV196636 BGO196636:BGR196636 BQK196636:BQN196636 CAG196636:CAJ196636 CKC196636:CKF196636 CTY196636:CUB196636 DDU196636:DDX196636 DNQ196636:DNT196636 DXM196636:DXP196636 EHI196636:EHL196636 ERE196636:ERH196636 FBA196636:FBD196636 FKW196636:FKZ196636 FUS196636:FUV196636 GEO196636:GER196636 GOK196636:GON196636 GYG196636:GYJ196636 HIC196636:HIF196636 HRY196636:HSB196636 IBU196636:IBX196636 ILQ196636:ILT196636 IVM196636:IVP196636 JFI196636:JFL196636 JPE196636:JPH196636 JZA196636:JZD196636 KIW196636:KIZ196636 KSS196636:KSV196636 LCO196636:LCR196636 LMK196636:LMN196636 LWG196636:LWJ196636 MGC196636:MGF196636 MPY196636:MQB196636 MZU196636:MZX196636 NJQ196636:NJT196636 NTM196636:NTP196636 ODI196636:ODL196636 ONE196636:ONH196636 OXA196636:OXD196636 PGW196636:PGZ196636 PQS196636:PQV196636 QAO196636:QAR196636 QKK196636:QKN196636 QUG196636:QUJ196636 REC196636:REF196636 RNY196636:ROB196636 RXU196636:RXX196636 SHQ196636:SHT196636 SRM196636:SRP196636 TBI196636:TBL196636 TLE196636:TLH196636 TVA196636:TVD196636 UEW196636:UEZ196636 UOS196636:UOV196636 UYO196636:UYR196636 VIK196636:VIN196636 VSG196636:VSJ196636 WCC196636:WCF196636 WLY196636:WMB196636 WVU196636:WVX196636 M262172:P262172 JI262172:JL262172 TE262172:TH262172 ADA262172:ADD262172 AMW262172:AMZ262172 AWS262172:AWV262172 BGO262172:BGR262172 BQK262172:BQN262172 CAG262172:CAJ262172 CKC262172:CKF262172 CTY262172:CUB262172 DDU262172:DDX262172 DNQ262172:DNT262172 DXM262172:DXP262172 EHI262172:EHL262172 ERE262172:ERH262172 FBA262172:FBD262172 FKW262172:FKZ262172 FUS262172:FUV262172 GEO262172:GER262172 GOK262172:GON262172 GYG262172:GYJ262172 HIC262172:HIF262172 HRY262172:HSB262172 IBU262172:IBX262172 ILQ262172:ILT262172 IVM262172:IVP262172 JFI262172:JFL262172 JPE262172:JPH262172 JZA262172:JZD262172 KIW262172:KIZ262172 KSS262172:KSV262172 LCO262172:LCR262172 LMK262172:LMN262172 LWG262172:LWJ262172 MGC262172:MGF262172 MPY262172:MQB262172 MZU262172:MZX262172 NJQ262172:NJT262172 NTM262172:NTP262172 ODI262172:ODL262172 ONE262172:ONH262172 OXA262172:OXD262172 PGW262172:PGZ262172 PQS262172:PQV262172 QAO262172:QAR262172 QKK262172:QKN262172 QUG262172:QUJ262172 REC262172:REF262172 RNY262172:ROB262172 RXU262172:RXX262172 SHQ262172:SHT262172 SRM262172:SRP262172 TBI262172:TBL262172 TLE262172:TLH262172 TVA262172:TVD262172 UEW262172:UEZ262172 UOS262172:UOV262172 UYO262172:UYR262172 VIK262172:VIN262172 VSG262172:VSJ262172 WCC262172:WCF262172 WLY262172:WMB262172 WVU262172:WVX262172 M327708:P327708 JI327708:JL327708 TE327708:TH327708 ADA327708:ADD327708 AMW327708:AMZ327708 AWS327708:AWV327708 BGO327708:BGR327708 BQK327708:BQN327708 CAG327708:CAJ327708 CKC327708:CKF327708 CTY327708:CUB327708 DDU327708:DDX327708 DNQ327708:DNT327708 DXM327708:DXP327708 EHI327708:EHL327708 ERE327708:ERH327708 FBA327708:FBD327708 FKW327708:FKZ327708 FUS327708:FUV327708 GEO327708:GER327708 GOK327708:GON327708 GYG327708:GYJ327708 HIC327708:HIF327708 HRY327708:HSB327708 IBU327708:IBX327708 ILQ327708:ILT327708 IVM327708:IVP327708 JFI327708:JFL327708 JPE327708:JPH327708 JZA327708:JZD327708 KIW327708:KIZ327708 KSS327708:KSV327708 LCO327708:LCR327708 LMK327708:LMN327708 LWG327708:LWJ327708 MGC327708:MGF327708 MPY327708:MQB327708 MZU327708:MZX327708 NJQ327708:NJT327708 NTM327708:NTP327708 ODI327708:ODL327708 ONE327708:ONH327708 OXA327708:OXD327708 PGW327708:PGZ327708 PQS327708:PQV327708 QAO327708:QAR327708 QKK327708:QKN327708 QUG327708:QUJ327708 REC327708:REF327708 RNY327708:ROB327708 RXU327708:RXX327708 SHQ327708:SHT327708 SRM327708:SRP327708 TBI327708:TBL327708 TLE327708:TLH327708 TVA327708:TVD327708 UEW327708:UEZ327708 UOS327708:UOV327708 UYO327708:UYR327708 VIK327708:VIN327708 VSG327708:VSJ327708 WCC327708:WCF327708 WLY327708:WMB327708 WVU327708:WVX327708 M393244:P393244 JI393244:JL393244 TE393244:TH393244 ADA393244:ADD393244 AMW393244:AMZ393244 AWS393244:AWV393244 BGO393244:BGR393244 BQK393244:BQN393244 CAG393244:CAJ393244 CKC393244:CKF393244 CTY393244:CUB393244 DDU393244:DDX393244 DNQ393244:DNT393244 DXM393244:DXP393244 EHI393244:EHL393244 ERE393244:ERH393244 FBA393244:FBD393244 FKW393244:FKZ393244 FUS393244:FUV393244 GEO393244:GER393244 GOK393244:GON393244 GYG393244:GYJ393244 HIC393244:HIF393244 HRY393244:HSB393244 IBU393244:IBX393244 ILQ393244:ILT393244 IVM393244:IVP393244 JFI393244:JFL393244 JPE393244:JPH393244 JZA393244:JZD393244 KIW393244:KIZ393244 KSS393244:KSV393244 LCO393244:LCR393244 LMK393244:LMN393244 LWG393244:LWJ393244 MGC393244:MGF393244 MPY393244:MQB393244 MZU393244:MZX393244 NJQ393244:NJT393244 NTM393244:NTP393244 ODI393244:ODL393244 ONE393244:ONH393244 OXA393244:OXD393244 PGW393244:PGZ393244 PQS393244:PQV393244 QAO393244:QAR393244 QKK393244:QKN393244 QUG393244:QUJ393244 REC393244:REF393244 RNY393244:ROB393244 RXU393244:RXX393244 SHQ393244:SHT393244 SRM393244:SRP393244 TBI393244:TBL393244 TLE393244:TLH393244 TVA393244:TVD393244 UEW393244:UEZ393244 UOS393244:UOV393244 UYO393244:UYR393244 VIK393244:VIN393244 VSG393244:VSJ393244 WCC393244:WCF393244 WLY393244:WMB393244 WVU393244:WVX393244 M458780:P458780 JI458780:JL458780 TE458780:TH458780 ADA458780:ADD458780 AMW458780:AMZ458780 AWS458780:AWV458780 BGO458780:BGR458780 BQK458780:BQN458780 CAG458780:CAJ458780 CKC458780:CKF458780 CTY458780:CUB458780 DDU458780:DDX458780 DNQ458780:DNT458780 DXM458780:DXP458780 EHI458780:EHL458780 ERE458780:ERH458780 FBA458780:FBD458780 FKW458780:FKZ458780 FUS458780:FUV458780 GEO458780:GER458780 GOK458780:GON458780 GYG458780:GYJ458780 HIC458780:HIF458780 HRY458780:HSB458780 IBU458780:IBX458780 ILQ458780:ILT458780 IVM458780:IVP458780 JFI458780:JFL458780 JPE458780:JPH458780 JZA458780:JZD458780 KIW458780:KIZ458780 KSS458780:KSV458780 LCO458780:LCR458780 LMK458780:LMN458780 LWG458780:LWJ458780 MGC458780:MGF458780 MPY458780:MQB458780 MZU458780:MZX458780 NJQ458780:NJT458780 NTM458780:NTP458780 ODI458780:ODL458780 ONE458780:ONH458780 OXA458780:OXD458780 PGW458780:PGZ458780 PQS458780:PQV458780 QAO458780:QAR458780 QKK458780:QKN458780 QUG458780:QUJ458780 REC458780:REF458780 RNY458780:ROB458780 RXU458780:RXX458780 SHQ458780:SHT458780 SRM458780:SRP458780 TBI458780:TBL458780 TLE458780:TLH458780 TVA458780:TVD458780 UEW458780:UEZ458780 UOS458780:UOV458780 UYO458780:UYR458780 VIK458780:VIN458780 VSG458780:VSJ458780 WCC458780:WCF458780 WLY458780:WMB458780 WVU458780:WVX458780 M524316:P524316 JI524316:JL524316 TE524316:TH524316 ADA524316:ADD524316 AMW524316:AMZ524316 AWS524316:AWV524316 BGO524316:BGR524316 BQK524316:BQN524316 CAG524316:CAJ524316 CKC524316:CKF524316 CTY524316:CUB524316 DDU524316:DDX524316 DNQ524316:DNT524316 DXM524316:DXP524316 EHI524316:EHL524316 ERE524316:ERH524316 FBA524316:FBD524316 FKW524316:FKZ524316 FUS524316:FUV524316 GEO524316:GER524316 GOK524316:GON524316 GYG524316:GYJ524316 HIC524316:HIF524316 HRY524316:HSB524316 IBU524316:IBX524316 ILQ524316:ILT524316 IVM524316:IVP524316 JFI524316:JFL524316 JPE524316:JPH524316 JZA524316:JZD524316 KIW524316:KIZ524316 KSS524316:KSV524316 LCO524316:LCR524316 LMK524316:LMN524316 LWG524316:LWJ524316 MGC524316:MGF524316 MPY524316:MQB524316 MZU524316:MZX524316 NJQ524316:NJT524316 NTM524316:NTP524316 ODI524316:ODL524316 ONE524316:ONH524316 OXA524316:OXD524316 PGW524316:PGZ524316 PQS524316:PQV524316 QAO524316:QAR524316 QKK524316:QKN524316 QUG524316:QUJ524316 REC524316:REF524316 RNY524316:ROB524316 RXU524316:RXX524316 SHQ524316:SHT524316 SRM524316:SRP524316 TBI524316:TBL524316 TLE524316:TLH524316 TVA524316:TVD524316 UEW524316:UEZ524316 UOS524316:UOV524316 UYO524316:UYR524316 VIK524316:VIN524316 VSG524316:VSJ524316 WCC524316:WCF524316 WLY524316:WMB524316 WVU524316:WVX524316 M589852:P589852 JI589852:JL589852 TE589852:TH589852 ADA589852:ADD589852 AMW589852:AMZ589852 AWS589852:AWV589852 BGO589852:BGR589852 BQK589852:BQN589852 CAG589852:CAJ589852 CKC589852:CKF589852 CTY589852:CUB589852 DDU589852:DDX589852 DNQ589852:DNT589852 DXM589852:DXP589852 EHI589852:EHL589852 ERE589852:ERH589852 FBA589852:FBD589852 FKW589852:FKZ589852 FUS589852:FUV589852 GEO589852:GER589852 GOK589852:GON589852 GYG589852:GYJ589852 HIC589852:HIF589852 HRY589852:HSB589852 IBU589852:IBX589852 ILQ589852:ILT589852 IVM589852:IVP589852 JFI589852:JFL589852 JPE589852:JPH589852 JZA589852:JZD589852 KIW589852:KIZ589852 KSS589852:KSV589852 LCO589852:LCR589852 LMK589852:LMN589852 LWG589852:LWJ589852 MGC589852:MGF589852 MPY589852:MQB589852 MZU589852:MZX589852 NJQ589852:NJT589852 NTM589852:NTP589852 ODI589852:ODL589852 ONE589852:ONH589852 OXA589852:OXD589852 PGW589852:PGZ589852 PQS589852:PQV589852 QAO589852:QAR589852 QKK589852:QKN589852 QUG589852:QUJ589852 REC589852:REF589852 RNY589852:ROB589852 RXU589852:RXX589852 SHQ589852:SHT589852 SRM589852:SRP589852 TBI589852:TBL589852 TLE589852:TLH589852 TVA589852:TVD589852 UEW589852:UEZ589852 UOS589852:UOV589852 UYO589852:UYR589852 VIK589852:VIN589852 VSG589852:VSJ589852 WCC589852:WCF589852 WLY589852:WMB589852 WVU589852:WVX589852 M655388:P655388 JI655388:JL655388 TE655388:TH655388 ADA655388:ADD655388 AMW655388:AMZ655388 AWS655388:AWV655388 BGO655388:BGR655388 BQK655388:BQN655388 CAG655388:CAJ655388 CKC655388:CKF655388 CTY655388:CUB655388 DDU655388:DDX655388 DNQ655388:DNT655388 DXM655388:DXP655388 EHI655388:EHL655388 ERE655388:ERH655388 FBA655388:FBD655388 FKW655388:FKZ655388 FUS655388:FUV655388 GEO655388:GER655388 GOK655388:GON655388 GYG655388:GYJ655388 HIC655388:HIF655388 HRY655388:HSB655388 IBU655388:IBX655388 ILQ655388:ILT655388 IVM655388:IVP655388 JFI655388:JFL655388 JPE655388:JPH655388 JZA655388:JZD655388 KIW655388:KIZ655388 KSS655388:KSV655388 LCO655388:LCR655388 LMK655388:LMN655388 LWG655388:LWJ655388 MGC655388:MGF655388 MPY655388:MQB655388 MZU655388:MZX655388 NJQ655388:NJT655388 NTM655388:NTP655388 ODI655388:ODL655388 ONE655388:ONH655388 OXA655388:OXD655388 PGW655388:PGZ655388 PQS655388:PQV655388 QAO655388:QAR655388 QKK655388:QKN655388 QUG655388:QUJ655388 REC655388:REF655388 RNY655388:ROB655388 RXU655388:RXX655388 SHQ655388:SHT655388 SRM655388:SRP655388 TBI655388:TBL655388 TLE655388:TLH655388 TVA655388:TVD655388 UEW655388:UEZ655388 UOS655388:UOV655388 UYO655388:UYR655388 VIK655388:VIN655388 VSG655388:VSJ655388 WCC655388:WCF655388 WLY655388:WMB655388 WVU655388:WVX655388 M720924:P720924 JI720924:JL720924 TE720924:TH720924 ADA720924:ADD720924 AMW720924:AMZ720924 AWS720924:AWV720924 BGO720924:BGR720924 BQK720924:BQN720924 CAG720924:CAJ720924 CKC720924:CKF720924 CTY720924:CUB720924 DDU720924:DDX720924 DNQ720924:DNT720924 DXM720924:DXP720924 EHI720924:EHL720924 ERE720924:ERH720924 FBA720924:FBD720924 FKW720924:FKZ720924 FUS720924:FUV720924 GEO720924:GER720924 GOK720924:GON720924 GYG720924:GYJ720924 HIC720924:HIF720924 HRY720924:HSB720924 IBU720924:IBX720924 ILQ720924:ILT720924 IVM720924:IVP720924 JFI720924:JFL720924 JPE720924:JPH720924 JZA720924:JZD720924 KIW720924:KIZ720924 KSS720924:KSV720924 LCO720924:LCR720924 LMK720924:LMN720924 LWG720924:LWJ720924 MGC720924:MGF720924 MPY720924:MQB720924 MZU720924:MZX720924 NJQ720924:NJT720924 NTM720924:NTP720924 ODI720924:ODL720924 ONE720924:ONH720924 OXA720924:OXD720924 PGW720924:PGZ720924 PQS720924:PQV720924 QAO720924:QAR720924 QKK720924:QKN720924 QUG720924:QUJ720924 REC720924:REF720924 RNY720924:ROB720924 RXU720924:RXX720924 SHQ720924:SHT720924 SRM720924:SRP720924 TBI720924:TBL720924 TLE720924:TLH720924 TVA720924:TVD720924 UEW720924:UEZ720924 UOS720924:UOV720924 UYO720924:UYR720924 VIK720924:VIN720924 VSG720924:VSJ720924 WCC720924:WCF720924 WLY720924:WMB720924 WVU720924:WVX720924 M786460:P786460 JI786460:JL786460 TE786460:TH786460 ADA786460:ADD786460 AMW786460:AMZ786460 AWS786460:AWV786460 BGO786460:BGR786460 BQK786460:BQN786460 CAG786460:CAJ786460 CKC786460:CKF786460 CTY786460:CUB786460 DDU786460:DDX786460 DNQ786460:DNT786460 DXM786460:DXP786460 EHI786460:EHL786460 ERE786460:ERH786460 FBA786460:FBD786460 FKW786460:FKZ786460 FUS786460:FUV786460 GEO786460:GER786460 GOK786460:GON786460 GYG786460:GYJ786460 HIC786460:HIF786460 HRY786460:HSB786460 IBU786460:IBX786460 ILQ786460:ILT786460 IVM786460:IVP786460 JFI786460:JFL786460 JPE786460:JPH786460 JZA786460:JZD786460 KIW786460:KIZ786460 KSS786460:KSV786460 LCO786460:LCR786460 LMK786460:LMN786460 LWG786460:LWJ786460 MGC786460:MGF786460 MPY786460:MQB786460 MZU786460:MZX786460 NJQ786460:NJT786460 NTM786460:NTP786460 ODI786460:ODL786460 ONE786460:ONH786460 OXA786460:OXD786460 PGW786460:PGZ786460 PQS786460:PQV786460 QAO786460:QAR786460 QKK786460:QKN786460 QUG786460:QUJ786460 REC786460:REF786460 RNY786460:ROB786460 RXU786460:RXX786460 SHQ786460:SHT786460 SRM786460:SRP786460 TBI786460:TBL786460 TLE786460:TLH786460 TVA786460:TVD786460 UEW786460:UEZ786460 UOS786460:UOV786460 UYO786460:UYR786460 VIK786460:VIN786460 VSG786460:VSJ786460 WCC786460:WCF786460 WLY786460:WMB786460 WVU786460:WVX786460 M851996:P851996 JI851996:JL851996 TE851996:TH851996 ADA851996:ADD851996 AMW851996:AMZ851996 AWS851996:AWV851996 BGO851996:BGR851996 BQK851996:BQN851996 CAG851996:CAJ851996 CKC851996:CKF851996 CTY851996:CUB851996 DDU851996:DDX851996 DNQ851996:DNT851996 DXM851996:DXP851996 EHI851996:EHL851996 ERE851996:ERH851996 FBA851996:FBD851996 FKW851996:FKZ851996 FUS851996:FUV851996 GEO851996:GER851996 GOK851996:GON851996 GYG851996:GYJ851996 HIC851996:HIF851996 HRY851996:HSB851996 IBU851996:IBX851996 ILQ851996:ILT851996 IVM851996:IVP851996 JFI851996:JFL851996 JPE851996:JPH851996 JZA851996:JZD851996 KIW851996:KIZ851996 KSS851996:KSV851996 LCO851996:LCR851996 LMK851996:LMN851996 LWG851996:LWJ851996 MGC851996:MGF851996 MPY851996:MQB851996 MZU851996:MZX851996 NJQ851996:NJT851996 NTM851996:NTP851996 ODI851996:ODL851996 ONE851996:ONH851996 OXA851996:OXD851996 PGW851996:PGZ851996 PQS851996:PQV851996 QAO851996:QAR851996 QKK851996:QKN851996 QUG851996:QUJ851996 REC851996:REF851996 RNY851996:ROB851996 RXU851996:RXX851996 SHQ851996:SHT851996 SRM851996:SRP851996 TBI851996:TBL851996 TLE851996:TLH851996 TVA851996:TVD851996 UEW851996:UEZ851996 UOS851996:UOV851996 UYO851996:UYR851996 VIK851996:VIN851996 VSG851996:VSJ851996 WCC851996:WCF851996 WLY851996:WMB851996 WVU851996:WVX851996 M917532:P917532 JI917532:JL917532 TE917532:TH917532 ADA917532:ADD917532 AMW917532:AMZ917532 AWS917532:AWV917532 BGO917532:BGR917532 BQK917532:BQN917532 CAG917532:CAJ917532 CKC917532:CKF917532 CTY917532:CUB917532 DDU917532:DDX917532 DNQ917532:DNT917532 DXM917532:DXP917532 EHI917532:EHL917532 ERE917532:ERH917532 FBA917532:FBD917532 FKW917532:FKZ917532 FUS917532:FUV917532 GEO917532:GER917532 GOK917532:GON917532 GYG917532:GYJ917532 HIC917532:HIF917532 HRY917532:HSB917532 IBU917532:IBX917532 ILQ917532:ILT917532 IVM917532:IVP917532 JFI917532:JFL917532 JPE917532:JPH917532 JZA917532:JZD917532 KIW917532:KIZ917532 KSS917532:KSV917532 LCO917532:LCR917532 LMK917532:LMN917532 LWG917532:LWJ917532 MGC917532:MGF917532 MPY917532:MQB917532 MZU917532:MZX917532 NJQ917532:NJT917532 NTM917532:NTP917532 ODI917532:ODL917532 ONE917532:ONH917532 OXA917532:OXD917532 PGW917532:PGZ917532 PQS917532:PQV917532 QAO917532:QAR917532 QKK917532:QKN917532 QUG917532:QUJ917532 REC917532:REF917532 RNY917532:ROB917532 RXU917532:RXX917532 SHQ917532:SHT917532 SRM917532:SRP917532 TBI917532:TBL917532 TLE917532:TLH917532 TVA917532:TVD917532 UEW917532:UEZ917532 UOS917532:UOV917532 UYO917532:UYR917532 VIK917532:VIN917532 VSG917532:VSJ917532 WCC917532:WCF917532 WLY917532:WMB917532 WVU917532:WVX917532 M983068:P983068 JI983068:JL983068 TE983068:TH983068 ADA983068:ADD983068 AMW983068:AMZ983068 AWS983068:AWV983068 BGO983068:BGR983068 BQK983068:BQN983068 CAG983068:CAJ983068 CKC983068:CKF983068 CTY983068:CUB983068 DDU983068:DDX983068 DNQ983068:DNT983068 DXM983068:DXP983068 EHI983068:EHL983068 ERE983068:ERH983068 FBA983068:FBD983068 FKW983068:FKZ983068 FUS983068:FUV983068 GEO983068:GER983068 GOK983068:GON983068 GYG983068:GYJ983068 HIC983068:HIF983068 HRY983068:HSB983068 IBU983068:IBX983068 ILQ983068:ILT983068 IVM983068:IVP983068 JFI983068:JFL983068 JPE983068:JPH983068 JZA983068:JZD983068 KIW983068:KIZ983068 KSS983068:KSV983068 LCO983068:LCR983068 LMK983068:LMN983068 LWG983068:LWJ983068 MGC983068:MGF983068 MPY983068:MQB983068 MZU983068:MZX983068 NJQ983068:NJT983068 NTM983068:NTP983068 ODI983068:ODL983068 ONE983068:ONH983068 OXA983068:OXD983068 PGW983068:PGZ983068 PQS983068:PQV983068 QAO983068:QAR983068 QKK983068:QKN983068 QUG983068:QUJ983068 REC983068:REF983068 RNY983068:ROB983068 RXU983068:RXX983068 SHQ983068:SHT983068 SRM983068:SRP983068 TBI983068:TBL983068 TLE983068:TLH983068 TVA983068:TVD983068 UEW983068:UEZ983068 UOS983068:UOV983068 UYO983068:UYR983068 VIK983068:VIN983068 VSG983068:VSJ983068 WCC983068:WCF983068 WLY983068:WMB983068 WVU983068:WVX983068 M26:P26 JI26:JL26 TE26:TH26 ADA26:ADD26 AMW26:AMZ26 AWS26:AWV26 BGO26:BGR26 BQK26:BQN26 CAG26:CAJ26 CKC26:CKF26 CTY26:CUB26 DDU26:DDX26 DNQ26:DNT26 DXM26:DXP26 EHI26:EHL26 ERE26:ERH26 FBA26:FBD26 FKW26:FKZ26 FUS26:FUV26 GEO26:GER26 GOK26:GON26 GYG26:GYJ26 HIC26:HIF26 HRY26:HSB26 IBU26:IBX26 ILQ26:ILT26 IVM26:IVP26 JFI26:JFL26 JPE26:JPH26 JZA26:JZD26 KIW26:KIZ26 KSS26:KSV26 LCO26:LCR26 LMK26:LMN26 LWG26:LWJ26 MGC26:MGF26 MPY26:MQB26 MZU26:MZX26 NJQ26:NJT26 NTM26:NTP26 ODI26:ODL26 ONE26:ONH26 OXA26:OXD26 PGW26:PGZ26 PQS26:PQV26 QAO26:QAR26 QKK26:QKN26 QUG26:QUJ26 REC26:REF26 RNY26:ROB26 RXU26:RXX26 SHQ26:SHT26 SRM26:SRP26 TBI26:TBL26 TLE26:TLH26 TVA26:TVD26 UEW26:UEZ26 UOS26:UOV26 UYO26:UYR26 VIK26:VIN26 VSG26:VSJ26 WCC26:WCF26 WLY26:WMB26 WVU26:WVX26 M65562:P65562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M131098:P131098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M196634:P196634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M262170:P262170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M327706:P327706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M393242:P393242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M458778:P458778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M524314:P524314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M589850:P589850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M655386:P655386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M720922:P720922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M786458:P786458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M851994:P851994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M917530:P917530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M983066:P983066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WVU983066:WVX983066 Q60:U61 JM60:JQ61 TI60:TM61 ADE60:ADI61 ANA60:ANE61 AWW60:AXA61 BGS60:BGW61 BQO60:BQS61 CAK60:CAO61 CKG60:CKK61 CUC60:CUG61 DDY60:DEC61 DNU60:DNY61 DXQ60:DXU61 EHM60:EHQ61 ERI60:ERM61 FBE60:FBI61 FLA60:FLE61 FUW60:FVA61 GES60:GEW61 GOO60:GOS61 GYK60:GYO61 HIG60:HIK61 HSC60:HSG61 IBY60:ICC61 ILU60:ILY61 IVQ60:IVU61 JFM60:JFQ61 JPI60:JPM61 JZE60:JZI61 KJA60:KJE61 KSW60:KTA61 LCS60:LCW61 LMO60:LMS61 LWK60:LWO61 MGG60:MGK61 MQC60:MQG61 MZY60:NAC61 NJU60:NJY61 NTQ60:NTU61 ODM60:ODQ61 ONI60:ONM61 OXE60:OXI61 PHA60:PHE61 PQW60:PRA61 QAS60:QAW61 QKO60:QKS61 QUK60:QUO61 REG60:REK61 ROC60:ROG61 RXY60:RYC61 SHU60:SHY61 SRQ60:SRU61 TBM60:TBQ61 TLI60:TLM61 TVE60:TVI61 UFA60:UFE61 UOW60:UPA61 UYS60:UYW61 VIO60:VIS61 VSK60:VSO61 WCG60:WCK61 WMC60:WMG61 WVY60:WWC61 Q65596:U65597 JM65596:JQ65597 TI65596:TM65597 ADE65596:ADI65597 ANA65596:ANE65597 AWW65596:AXA65597 BGS65596:BGW65597 BQO65596:BQS65597 CAK65596:CAO65597 CKG65596:CKK65597 CUC65596:CUG65597 DDY65596:DEC65597 DNU65596:DNY65597 DXQ65596:DXU65597 EHM65596:EHQ65597 ERI65596:ERM65597 FBE65596:FBI65597 FLA65596:FLE65597 FUW65596:FVA65597 GES65596:GEW65597 GOO65596:GOS65597 GYK65596:GYO65597 HIG65596:HIK65597 HSC65596:HSG65597 IBY65596:ICC65597 ILU65596:ILY65597 IVQ65596:IVU65597 JFM65596:JFQ65597 JPI65596:JPM65597 JZE65596:JZI65597 KJA65596:KJE65597 KSW65596:KTA65597 LCS65596:LCW65597 LMO65596:LMS65597 LWK65596:LWO65597 MGG65596:MGK65597 MQC65596:MQG65597 MZY65596:NAC65597 NJU65596:NJY65597 NTQ65596:NTU65597 ODM65596:ODQ65597 ONI65596:ONM65597 OXE65596:OXI65597 PHA65596:PHE65597 PQW65596:PRA65597 QAS65596:QAW65597 QKO65596:QKS65597 QUK65596:QUO65597 REG65596:REK65597 ROC65596:ROG65597 RXY65596:RYC65597 SHU65596:SHY65597 SRQ65596:SRU65597 TBM65596:TBQ65597 TLI65596:TLM65597 TVE65596:TVI65597 UFA65596:UFE65597 UOW65596:UPA65597 UYS65596:UYW65597 VIO65596:VIS65597 VSK65596:VSO65597 WCG65596:WCK65597 WMC65596:WMG65597 WVY65596:WWC65597 Q131132:U131133 JM131132:JQ131133 TI131132:TM131133 ADE131132:ADI131133 ANA131132:ANE131133 AWW131132:AXA131133 BGS131132:BGW131133 BQO131132:BQS131133 CAK131132:CAO131133 CKG131132:CKK131133 CUC131132:CUG131133 DDY131132:DEC131133 DNU131132:DNY131133 DXQ131132:DXU131133 EHM131132:EHQ131133 ERI131132:ERM131133 FBE131132:FBI131133 FLA131132:FLE131133 FUW131132:FVA131133 GES131132:GEW131133 GOO131132:GOS131133 GYK131132:GYO131133 HIG131132:HIK131133 HSC131132:HSG131133 IBY131132:ICC131133 ILU131132:ILY131133 IVQ131132:IVU131133 JFM131132:JFQ131133 JPI131132:JPM131133 JZE131132:JZI131133 KJA131132:KJE131133 KSW131132:KTA131133 LCS131132:LCW131133 LMO131132:LMS131133 LWK131132:LWO131133 MGG131132:MGK131133 MQC131132:MQG131133 MZY131132:NAC131133 NJU131132:NJY131133 NTQ131132:NTU131133 ODM131132:ODQ131133 ONI131132:ONM131133 OXE131132:OXI131133 PHA131132:PHE131133 PQW131132:PRA131133 QAS131132:QAW131133 QKO131132:QKS131133 QUK131132:QUO131133 REG131132:REK131133 ROC131132:ROG131133 RXY131132:RYC131133 SHU131132:SHY131133 SRQ131132:SRU131133 TBM131132:TBQ131133 TLI131132:TLM131133 TVE131132:TVI131133 UFA131132:UFE131133 UOW131132:UPA131133 UYS131132:UYW131133 VIO131132:VIS131133 VSK131132:VSO131133 WCG131132:WCK131133 WMC131132:WMG131133 WVY131132:WWC131133 Q196668:U196669 JM196668:JQ196669 TI196668:TM196669 ADE196668:ADI196669 ANA196668:ANE196669 AWW196668:AXA196669 BGS196668:BGW196669 BQO196668:BQS196669 CAK196668:CAO196669 CKG196668:CKK196669 CUC196668:CUG196669 DDY196668:DEC196669 DNU196668:DNY196669 DXQ196668:DXU196669 EHM196668:EHQ196669 ERI196668:ERM196669 FBE196668:FBI196669 FLA196668:FLE196669 FUW196668:FVA196669 GES196668:GEW196669 GOO196668:GOS196669 GYK196668:GYO196669 HIG196668:HIK196669 HSC196668:HSG196669 IBY196668:ICC196669 ILU196668:ILY196669 IVQ196668:IVU196669 JFM196668:JFQ196669 JPI196668:JPM196669 JZE196668:JZI196669 KJA196668:KJE196669 KSW196668:KTA196669 LCS196668:LCW196669 LMO196668:LMS196669 LWK196668:LWO196669 MGG196668:MGK196669 MQC196668:MQG196669 MZY196668:NAC196669 NJU196668:NJY196669 NTQ196668:NTU196669 ODM196668:ODQ196669 ONI196668:ONM196669 OXE196668:OXI196669 PHA196668:PHE196669 PQW196668:PRA196669 QAS196668:QAW196669 QKO196668:QKS196669 QUK196668:QUO196669 REG196668:REK196669 ROC196668:ROG196669 RXY196668:RYC196669 SHU196668:SHY196669 SRQ196668:SRU196669 TBM196668:TBQ196669 TLI196668:TLM196669 TVE196668:TVI196669 UFA196668:UFE196669 UOW196668:UPA196669 UYS196668:UYW196669 VIO196668:VIS196669 VSK196668:VSO196669 WCG196668:WCK196669 WMC196668:WMG196669 WVY196668:WWC196669 Q262204:U262205 JM262204:JQ262205 TI262204:TM262205 ADE262204:ADI262205 ANA262204:ANE262205 AWW262204:AXA262205 BGS262204:BGW262205 BQO262204:BQS262205 CAK262204:CAO262205 CKG262204:CKK262205 CUC262204:CUG262205 DDY262204:DEC262205 DNU262204:DNY262205 DXQ262204:DXU262205 EHM262204:EHQ262205 ERI262204:ERM262205 FBE262204:FBI262205 FLA262204:FLE262205 FUW262204:FVA262205 GES262204:GEW262205 GOO262204:GOS262205 GYK262204:GYO262205 HIG262204:HIK262205 HSC262204:HSG262205 IBY262204:ICC262205 ILU262204:ILY262205 IVQ262204:IVU262205 JFM262204:JFQ262205 JPI262204:JPM262205 JZE262204:JZI262205 KJA262204:KJE262205 KSW262204:KTA262205 LCS262204:LCW262205 LMO262204:LMS262205 LWK262204:LWO262205 MGG262204:MGK262205 MQC262204:MQG262205 MZY262204:NAC262205 NJU262204:NJY262205 NTQ262204:NTU262205 ODM262204:ODQ262205 ONI262204:ONM262205 OXE262204:OXI262205 PHA262204:PHE262205 PQW262204:PRA262205 QAS262204:QAW262205 QKO262204:QKS262205 QUK262204:QUO262205 REG262204:REK262205 ROC262204:ROG262205 RXY262204:RYC262205 SHU262204:SHY262205 SRQ262204:SRU262205 TBM262204:TBQ262205 TLI262204:TLM262205 TVE262204:TVI262205 UFA262204:UFE262205 UOW262204:UPA262205 UYS262204:UYW262205 VIO262204:VIS262205 VSK262204:VSO262205 WCG262204:WCK262205 WMC262204:WMG262205 WVY262204:WWC262205 Q327740:U327741 JM327740:JQ327741 TI327740:TM327741 ADE327740:ADI327741 ANA327740:ANE327741 AWW327740:AXA327741 BGS327740:BGW327741 BQO327740:BQS327741 CAK327740:CAO327741 CKG327740:CKK327741 CUC327740:CUG327741 DDY327740:DEC327741 DNU327740:DNY327741 DXQ327740:DXU327741 EHM327740:EHQ327741 ERI327740:ERM327741 FBE327740:FBI327741 FLA327740:FLE327741 FUW327740:FVA327741 GES327740:GEW327741 GOO327740:GOS327741 GYK327740:GYO327741 HIG327740:HIK327741 HSC327740:HSG327741 IBY327740:ICC327741 ILU327740:ILY327741 IVQ327740:IVU327741 JFM327740:JFQ327741 JPI327740:JPM327741 JZE327740:JZI327741 KJA327740:KJE327741 KSW327740:KTA327741 LCS327740:LCW327741 LMO327740:LMS327741 LWK327740:LWO327741 MGG327740:MGK327741 MQC327740:MQG327741 MZY327740:NAC327741 NJU327740:NJY327741 NTQ327740:NTU327741 ODM327740:ODQ327741 ONI327740:ONM327741 OXE327740:OXI327741 PHA327740:PHE327741 PQW327740:PRA327741 QAS327740:QAW327741 QKO327740:QKS327741 QUK327740:QUO327741 REG327740:REK327741 ROC327740:ROG327741 RXY327740:RYC327741 SHU327740:SHY327741 SRQ327740:SRU327741 TBM327740:TBQ327741 TLI327740:TLM327741 TVE327740:TVI327741 UFA327740:UFE327741 UOW327740:UPA327741 UYS327740:UYW327741 VIO327740:VIS327741 VSK327740:VSO327741 WCG327740:WCK327741 WMC327740:WMG327741 WVY327740:WWC327741 Q393276:U393277 JM393276:JQ393277 TI393276:TM393277 ADE393276:ADI393277 ANA393276:ANE393277 AWW393276:AXA393277 BGS393276:BGW393277 BQO393276:BQS393277 CAK393276:CAO393277 CKG393276:CKK393277 CUC393276:CUG393277 DDY393276:DEC393277 DNU393276:DNY393277 DXQ393276:DXU393277 EHM393276:EHQ393277 ERI393276:ERM393277 FBE393276:FBI393277 FLA393276:FLE393277 FUW393276:FVA393277 GES393276:GEW393277 GOO393276:GOS393277 GYK393276:GYO393277 HIG393276:HIK393277 HSC393276:HSG393277 IBY393276:ICC393277 ILU393276:ILY393277 IVQ393276:IVU393277 JFM393276:JFQ393277 JPI393276:JPM393277 JZE393276:JZI393277 KJA393276:KJE393277 KSW393276:KTA393277 LCS393276:LCW393277 LMO393276:LMS393277 LWK393276:LWO393277 MGG393276:MGK393277 MQC393276:MQG393277 MZY393276:NAC393277 NJU393276:NJY393277 NTQ393276:NTU393277 ODM393276:ODQ393277 ONI393276:ONM393277 OXE393276:OXI393277 PHA393276:PHE393277 PQW393276:PRA393277 QAS393276:QAW393277 QKO393276:QKS393277 QUK393276:QUO393277 REG393276:REK393277 ROC393276:ROG393277 RXY393276:RYC393277 SHU393276:SHY393277 SRQ393276:SRU393277 TBM393276:TBQ393277 TLI393276:TLM393277 TVE393276:TVI393277 UFA393276:UFE393277 UOW393276:UPA393277 UYS393276:UYW393277 VIO393276:VIS393277 VSK393276:VSO393277 WCG393276:WCK393277 WMC393276:WMG393277 WVY393276:WWC393277 Q458812:U458813 JM458812:JQ458813 TI458812:TM458813 ADE458812:ADI458813 ANA458812:ANE458813 AWW458812:AXA458813 BGS458812:BGW458813 BQO458812:BQS458813 CAK458812:CAO458813 CKG458812:CKK458813 CUC458812:CUG458813 DDY458812:DEC458813 DNU458812:DNY458813 DXQ458812:DXU458813 EHM458812:EHQ458813 ERI458812:ERM458813 FBE458812:FBI458813 FLA458812:FLE458813 FUW458812:FVA458813 GES458812:GEW458813 GOO458812:GOS458813 GYK458812:GYO458813 HIG458812:HIK458813 HSC458812:HSG458813 IBY458812:ICC458813 ILU458812:ILY458813 IVQ458812:IVU458813 JFM458812:JFQ458813 JPI458812:JPM458813 JZE458812:JZI458813 KJA458812:KJE458813 KSW458812:KTA458813 LCS458812:LCW458813 LMO458812:LMS458813 LWK458812:LWO458813 MGG458812:MGK458813 MQC458812:MQG458813 MZY458812:NAC458813 NJU458812:NJY458813 NTQ458812:NTU458813 ODM458812:ODQ458813 ONI458812:ONM458813 OXE458812:OXI458813 PHA458812:PHE458813 PQW458812:PRA458813 QAS458812:QAW458813 QKO458812:QKS458813 QUK458812:QUO458813 REG458812:REK458813 ROC458812:ROG458813 RXY458812:RYC458813 SHU458812:SHY458813 SRQ458812:SRU458813 TBM458812:TBQ458813 TLI458812:TLM458813 TVE458812:TVI458813 UFA458812:UFE458813 UOW458812:UPA458813 UYS458812:UYW458813 VIO458812:VIS458813 VSK458812:VSO458813 WCG458812:WCK458813 WMC458812:WMG458813 WVY458812:WWC458813 Q524348:U524349 JM524348:JQ524349 TI524348:TM524349 ADE524348:ADI524349 ANA524348:ANE524349 AWW524348:AXA524349 BGS524348:BGW524349 BQO524348:BQS524349 CAK524348:CAO524349 CKG524348:CKK524349 CUC524348:CUG524349 DDY524348:DEC524349 DNU524348:DNY524349 DXQ524348:DXU524349 EHM524348:EHQ524349 ERI524348:ERM524349 FBE524348:FBI524349 FLA524348:FLE524349 FUW524348:FVA524349 GES524348:GEW524349 GOO524348:GOS524349 GYK524348:GYO524349 HIG524348:HIK524349 HSC524348:HSG524349 IBY524348:ICC524349 ILU524348:ILY524349 IVQ524348:IVU524349 JFM524348:JFQ524349 JPI524348:JPM524349 JZE524348:JZI524349 KJA524348:KJE524349 KSW524348:KTA524349 LCS524348:LCW524349 LMO524348:LMS524349 LWK524348:LWO524349 MGG524348:MGK524349 MQC524348:MQG524349 MZY524348:NAC524349 NJU524348:NJY524349 NTQ524348:NTU524349 ODM524348:ODQ524349 ONI524348:ONM524349 OXE524348:OXI524349 PHA524348:PHE524349 PQW524348:PRA524349 QAS524348:QAW524349 QKO524348:QKS524349 QUK524348:QUO524349 REG524348:REK524349 ROC524348:ROG524349 RXY524348:RYC524349 SHU524348:SHY524349 SRQ524348:SRU524349 TBM524348:TBQ524349 TLI524348:TLM524349 TVE524348:TVI524349 UFA524348:UFE524349 UOW524348:UPA524349 UYS524348:UYW524349 VIO524348:VIS524349 VSK524348:VSO524349 WCG524348:WCK524349 WMC524348:WMG524349 WVY524348:WWC524349 Q589884:U589885 JM589884:JQ589885 TI589884:TM589885 ADE589884:ADI589885 ANA589884:ANE589885 AWW589884:AXA589885 BGS589884:BGW589885 BQO589884:BQS589885 CAK589884:CAO589885 CKG589884:CKK589885 CUC589884:CUG589885 DDY589884:DEC589885 DNU589884:DNY589885 DXQ589884:DXU589885 EHM589884:EHQ589885 ERI589884:ERM589885 FBE589884:FBI589885 FLA589884:FLE589885 FUW589884:FVA589885 GES589884:GEW589885 GOO589884:GOS589885 GYK589884:GYO589885 HIG589884:HIK589885 HSC589884:HSG589885 IBY589884:ICC589885 ILU589884:ILY589885 IVQ589884:IVU589885 JFM589884:JFQ589885 JPI589884:JPM589885 JZE589884:JZI589885 KJA589884:KJE589885 KSW589884:KTA589885 LCS589884:LCW589885 LMO589884:LMS589885 LWK589884:LWO589885 MGG589884:MGK589885 MQC589884:MQG589885 MZY589884:NAC589885 NJU589884:NJY589885 NTQ589884:NTU589885 ODM589884:ODQ589885 ONI589884:ONM589885 OXE589884:OXI589885 PHA589884:PHE589885 PQW589884:PRA589885 QAS589884:QAW589885 QKO589884:QKS589885 QUK589884:QUO589885 REG589884:REK589885 ROC589884:ROG589885 RXY589884:RYC589885 SHU589884:SHY589885 SRQ589884:SRU589885 TBM589884:TBQ589885 TLI589884:TLM589885 TVE589884:TVI589885 UFA589884:UFE589885 UOW589884:UPA589885 UYS589884:UYW589885 VIO589884:VIS589885 VSK589884:VSO589885 WCG589884:WCK589885 WMC589884:WMG589885 WVY589884:WWC589885 Q655420:U655421 JM655420:JQ655421 TI655420:TM655421 ADE655420:ADI655421 ANA655420:ANE655421 AWW655420:AXA655421 BGS655420:BGW655421 BQO655420:BQS655421 CAK655420:CAO655421 CKG655420:CKK655421 CUC655420:CUG655421 DDY655420:DEC655421 DNU655420:DNY655421 DXQ655420:DXU655421 EHM655420:EHQ655421 ERI655420:ERM655421 FBE655420:FBI655421 FLA655420:FLE655421 FUW655420:FVA655421 GES655420:GEW655421 GOO655420:GOS655421 GYK655420:GYO655421 HIG655420:HIK655421 HSC655420:HSG655421 IBY655420:ICC655421 ILU655420:ILY655421 IVQ655420:IVU655421 JFM655420:JFQ655421 JPI655420:JPM655421 JZE655420:JZI655421 KJA655420:KJE655421 KSW655420:KTA655421 LCS655420:LCW655421 LMO655420:LMS655421 LWK655420:LWO655421 MGG655420:MGK655421 MQC655420:MQG655421 MZY655420:NAC655421 NJU655420:NJY655421 NTQ655420:NTU655421 ODM655420:ODQ655421 ONI655420:ONM655421 OXE655420:OXI655421 PHA655420:PHE655421 PQW655420:PRA655421 QAS655420:QAW655421 QKO655420:QKS655421 QUK655420:QUO655421 REG655420:REK655421 ROC655420:ROG655421 RXY655420:RYC655421 SHU655420:SHY655421 SRQ655420:SRU655421 TBM655420:TBQ655421 TLI655420:TLM655421 TVE655420:TVI655421 UFA655420:UFE655421 UOW655420:UPA655421 UYS655420:UYW655421 VIO655420:VIS655421 VSK655420:VSO655421 WCG655420:WCK655421 WMC655420:WMG655421 WVY655420:WWC655421 Q720956:U720957 JM720956:JQ720957 TI720956:TM720957 ADE720956:ADI720957 ANA720956:ANE720957 AWW720956:AXA720957 BGS720956:BGW720957 BQO720956:BQS720957 CAK720956:CAO720957 CKG720956:CKK720957 CUC720956:CUG720957 DDY720956:DEC720957 DNU720956:DNY720957 DXQ720956:DXU720957 EHM720956:EHQ720957 ERI720956:ERM720957 FBE720956:FBI720957 FLA720956:FLE720957 FUW720956:FVA720957 GES720956:GEW720957 GOO720956:GOS720957 GYK720956:GYO720957 HIG720956:HIK720957 HSC720956:HSG720957 IBY720956:ICC720957 ILU720956:ILY720957 IVQ720956:IVU720957 JFM720956:JFQ720957 JPI720956:JPM720957 JZE720956:JZI720957 KJA720956:KJE720957 KSW720956:KTA720957 LCS720956:LCW720957 LMO720956:LMS720957 LWK720956:LWO720957 MGG720956:MGK720957 MQC720956:MQG720957 MZY720956:NAC720957 NJU720956:NJY720957 NTQ720956:NTU720957 ODM720956:ODQ720957 ONI720956:ONM720957 OXE720956:OXI720957 PHA720956:PHE720957 PQW720956:PRA720957 QAS720956:QAW720957 QKO720956:QKS720957 QUK720956:QUO720957 REG720956:REK720957 ROC720956:ROG720957 RXY720956:RYC720957 SHU720956:SHY720957 SRQ720956:SRU720957 TBM720956:TBQ720957 TLI720956:TLM720957 TVE720956:TVI720957 UFA720956:UFE720957 UOW720956:UPA720957 UYS720956:UYW720957 VIO720956:VIS720957 VSK720956:VSO720957 WCG720956:WCK720957 WMC720956:WMG720957 WVY720956:WWC720957 Q786492:U786493 JM786492:JQ786493 TI786492:TM786493 ADE786492:ADI786493 ANA786492:ANE786493 AWW786492:AXA786493 BGS786492:BGW786493 BQO786492:BQS786493 CAK786492:CAO786493 CKG786492:CKK786493 CUC786492:CUG786493 DDY786492:DEC786493 DNU786492:DNY786493 DXQ786492:DXU786493 EHM786492:EHQ786493 ERI786492:ERM786493 FBE786492:FBI786493 FLA786492:FLE786493 FUW786492:FVA786493 GES786492:GEW786493 GOO786492:GOS786493 GYK786492:GYO786493 HIG786492:HIK786493 HSC786492:HSG786493 IBY786492:ICC786493 ILU786492:ILY786493 IVQ786492:IVU786493 JFM786492:JFQ786493 JPI786492:JPM786493 JZE786492:JZI786493 KJA786492:KJE786493 KSW786492:KTA786493 LCS786492:LCW786493 LMO786492:LMS786493 LWK786492:LWO786493 MGG786492:MGK786493 MQC786492:MQG786493 MZY786492:NAC786493 NJU786492:NJY786493 NTQ786492:NTU786493 ODM786492:ODQ786493 ONI786492:ONM786493 OXE786492:OXI786493 PHA786492:PHE786493 PQW786492:PRA786493 QAS786492:QAW786493 QKO786492:QKS786493 QUK786492:QUO786493 REG786492:REK786493 ROC786492:ROG786493 RXY786492:RYC786493 SHU786492:SHY786493 SRQ786492:SRU786493 TBM786492:TBQ786493 TLI786492:TLM786493 TVE786492:TVI786493 UFA786492:UFE786493 UOW786492:UPA786493 UYS786492:UYW786493 VIO786492:VIS786493 VSK786492:VSO786493 WCG786492:WCK786493 WMC786492:WMG786493 WVY786492:WWC786493 Q852028:U852029 JM852028:JQ852029 TI852028:TM852029 ADE852028:ADI852029 ANA852028:ANE852029 AWW852028:AXA852029 BGS852028:BGW852029 BQO852028:BQS852029 CAK852028:CAO852029 CKG852028:CKK852029 CUC852028:CUG852029 DDY852028:DEC852029 DNU852028:DNY852029 DXQ852028:DXU852029 EHM852028:EHQ852029 ERI852028:ERM852029 FBE852028:FBI852029 FLA852028:FLE852029 FUW852028:FVA852029 GES852028:GEW852029 GOO852028:GOS852029 GYK852028:GYO852029 HIG852028:HIK852029 HSC852028:HSG852029 IBY852028:ICC852029 ILU852028:ILY852029 IVQ852028:IVU852029 JFM852028:JFQ852029 JPI852028:JPM852029 JZE852028:JZI852029 KJA852028:KJE852029 KSW852028:KTA852029 LCS852028:LCW852029 LMO852028:LMS852029 LWK852028:LWO852029 MGG852028:MGK852029 MQC852028:MQG852029 MZY852028:NAC852029 NJU852028:NJY852029 NTQ852028:NTU852029 ODM852028:ODQ852029 ONI852028:ONM852029 OXE852028:OXI852029 PHA852028:PHE852029 PQW852028:PRA852029 QAS852028:QAW852029 QKO852028:QKS852029 QUK852028:QUO852029 REG852028:REK852029 ROC852028:ROG852029 RXY852028:RYC852029 SHU852028:SHY852029 SRQ852028:SRU852029 TBM852028:TBQ852029 TLI852028:TLM852029 TVE852028:TVI852029 UFA852028:UFE852029 UOW852028:UPA852029 UYS852028:UYW852029 VIO852028:VIS852029 VSK852028:VSO852029 WCG852028:WCK852029 WMC852028:WMG852029 WVY852028:WWC852029 Q917564:U917565 JM917564:JQ917565 TI917564:TM917565 ADE917564:ADI917565 ANA917564:ANE917565 AWW917564:AXA917565 BGS917564:BGW917565 BQO917564:BQS917565 CAK917564:CAO917565 CKG917564:CKK917565 CUC917564:CUG917565 DDY917564:DEC917565 DNU917564:DNY917565 DXQ917564:DXU917565 EHM917564:EHQ917565 ERI917564:ERM917565 FBE917564:FBI917565 FLA917564:FLE917565 FUW917564:FVA917565 GES917564:GEW917565 GOO917564:GOS917565 GYK917564:GYO917565 HIG917564:HIK917565 HSC917564:HSG917565 IBY917564:ICC917565 ILU917564:ILY917565 IVQ917564:IVU917565 JFM917564:JFQ917565 JPI917564:JPM917565 JZE917564:JZI917565 KJA917564:KJE917565 KSW917564:KTA917565 LCS917564:LCW917565 LMO917564:LMS917565 LWK917564:LWO917565 MGG917564:MGK917565 MQC917564:MQG917565 MZY917564:NAC917565 NJU917564:NJY917565 NTQ917564:NTU917565 ODM917564:ODQ917565 ONI917564:ONM917565 OXE917564:OXI917565 PHA917564:PHE917565 PQW917564:PRA917565 QAS917564:QAW917565 QKO917564:QKS917565 QUK917564:QUO917565 REG917564:REK917565 ROC917564:ROG917565 RXY917564:RYC917565 SHU917564:SHY917565 SRQ917564:SRU917565 TBM917564:TBQ917565 TLI917564:TLM917565 TVE917564:TVI917565 UFA917564:UFE917565 UOW917564:UPA917565 UYS917564:UYW917565 VIO917564:VIS917565 VSK917564:VSO917565 WCG917564:WCK917565 WMC917564:WMG917565 WVY917564:WWC917565 Q983100:U983101 JM983100:JQ983101 TI983100:TM983101 ADE983100:ADI983101 ANA983100:ANE983101 AWW983100:AXA983101 BGS983100:BGW983101 BQO983100:BQS983101 CAK983100:CAO983101 CKG983100:CKK983101 CUC983100:CUG983101 DDY983100:DEC983101 DNU983100:DNY983101 DXQ983100:DXU983101 EHM983100:EHQ983101 ERI983100:ERM983101 FBE983100:FBI983101 FLA983100:FLE983101 FUW983100:FVA983101 GES983100:GEW983101 GOO983100:GOS983101 GYK983100:GYO983101 HIG983100:HIK983101 HSC983100:HSG983101 IBY983100:ICC983101 ILU983100:ILY983101 IVQ983100:IVU983101 JFM983100:JFQ983101 JPI983100:JPM983101 JZE983100:JZI983101 KJA983100:KJE983101 KSW983100:KTA983101 LCS983100:LCW983101 LMO983100:LMS983101 LWK983100:LWO983101 MGG983100:MGK983101 MQC983100:MQG983101 MZY983100:NAC983101 NJU983100:NJY983101 NTQ983100:NTU983101 ODM983100:ODQ983101 ONI983100:ONM983101 OXE983100:OXI983101 PHA983100:PHE983101 PQW983100:PRA983101 QAS983100:QAW983101 QKO983100:QKS983101 QUK983100:QUO983101 REG983100:REK983101 ROC983100:ROG983101 RXY983100:RYC983101 SHU983100:SHY983101 SRQ983100:SRU983101 TBM983100:TBQ983101 TLI983100:TLM983101 TVE983100:TVI983101 UFA983100:UFE983101 UOW983100:UPA983101 UYS983100:UYW983101 VIO983100:VIS983101 VSK983100:VSO983101 WCG983100:WCK983101 WMC983100:WMG983101 WVY983100:WWC983101 R26:U26 JN26:JQ26 TJ26:TM26 ADF26:ADI26 ANB26:ANE26 AWX26:AXA26 BGT26:BGW26 BQP26:BQS26 CAL26:CAO26 CKH26:CKK26 CUD26:CUG26 DDZ26:DEC26 DNV26:DNY26 DXR26:DXU26 EHN26:EHQ26 ERJ26:ERM26 FBF26:FBI26 FLB26:FLE26 FUX26:FVA26 GET26:GEW26 GOP26:GOS26 GYL26:GYO26 HIH26:HIK26 HSD26:HSG26 IBZ26:ICC26 ILV26:ILY26 IVR26:IVU26 JFN26:JFQ26 JPJ26:JPM26 JZF26:JZI26 KJB26:KJE26 KSX26:KTA26 LCT26:LCW26 LMP26:LMS26 LWL26:LWO26 MGH26:MGK26 MQD26:MQG26 MZZ26:NAC26 NJV26:NJY26 NTR26:NTU26 ODN26:ODQ26 ONJ26:ONM26 OXF26:OXI26 PHB26:PHE26 PQX26:PRA26 QAT26:QAW26 QKP26:QKS26 QUL26:QUO26 REH26:REK26 ROD26:ROG26 RXZ26:RYC26 SHV26:SHY26 SRR26:SRU26 TBN26:TBQ26 TLJ26:TLM26 TVF26:TVI26 UFB26:UFE26 UOX26:UPA26 UYT26:UYW26 VIP26:VIS26 VSL26:VSO26 WCH26:WCK26 WMD26:WMG26 WVZ26:WWC26 R65562:U65562 JN65562:JQ65562 TJ65562:TM65562 ADF65562:ADI65562 ANB65562:ANE65562 AWX65562:AXA65562 BGT65562:BGW65562 BQP65562:BQS65562 CAL65562:CAO65562 CKH65562:CKK65562 CUD65562:CUG65562 DDZ65562:DEC65562 DNV65562:DNY65562 DXR65562:DXU65562 EHN65562:EHQ65562 ERJ65562:ERM65562 FBF65562:FBI65562 FLB65562:FLE65562 FUX65562:FVA65562 GET65562:GEW65562 GOP65562:GOS65562 GYL65562:GYO65562 HIH65562:HIK65562 HSD65562:HSG65562 IBZ65562:ICC65562 ILV65562:ILY65562 IVR65562:IVU65562 JFN65562:JFQ65562 JPJ65562:JPM65562 JZF65562:JZI65562 KJB65562:KJE65562 KSX65562:KTA65562 LCT65562:LCW65562 LMP65562:LMS65562 LWL65562:LWO65562 MGH65562:MGK65562 MQD65562:MQG65562 MZZ65562:NAC65562 NJV65562:NJY65562 NTR65562:NTU65562 ODN65562:ODQ65562 ONJ65562:ONM65562 OXF65562:OXI65562 PHB65562:PHE65562 PQX65562:PRA65562 QAT65562:QAW65562 QKP65562:QKS65562 QUL65562:QUO65562 REH65562:REK65562 ROD65562:ROG65562 RXZ65562:RYC65562 SHV65562:SHY65562 SRR65562:SRU65562 TBN65562:TBQ65562 TLJ65562:TLM65562 TVF65562:TVI65562 UFB65562:UFE65562 UOX65562:UPA65562 UYT65562:UYW65562 VIP65562:VIS65562 VSL65562:VSO65562 WCH65562:WCK65562 WMD65562:WMG65562 WVZ65562:WWC65562 R131098:U131098 JN131098:JQ131098 TJ131098:TM131098 ADF131098:ADI131098 ANB131098:ANE131098 AWX131098:AXA131098 BGT131098:BGW131098 BQP131098:BQS131098 CAL131098:CAO131098 CKH131098:CKK131098 CUD131098:CUG131098 DDZ131098:DEC131098 DNV131098:DNY131098 DXR131098:DXU131098 EHN131098:EHQ131098 ERJ131098:ERM131098 FBF131098:FBI131098 FLB131098:FLE131098 FUX131098:FVA131098 GET131098:GEW131098 GOP131098:GOS131098 GYL131098:GYO131098 HIH131098:HIK131098 HSD131098:HSG131098 IBZ131098:ICC131098 ILV131098:ILY131098 IVR131098:IVU131098 JFN131098:JFQ131098 JPJ131098:JPM131098 JZF131098:JZI131098 KJB131098:KJE131098 KSX131098:KTA131098 LCT131098:LCW131098 LMP131098:LMS131098 LWL131098:LWO131098 MGH131098:MGK131098 MQD131098:MQG131098 MZZ131098:NAC131098 NJV131098:NJY131098 NTR131098:NTU131098 ODN131098:ODQ131098 ONJ131098:ONM131098 OXF131098:OXI131098 PHB131098:PHE131098 PQX131098:PRA131098 QAT131098:QAW131098 QKP131098:QKS131098 QUL131098:QUO131098 REH131098:REK131098 ROD131098:ROG131098 RXZ131098:RYC131098 SHV131098:SHY131098 SRR131098:SRU131098 TBN131098:TBQ131098 TLJ131098:TLM131098 TVF131098:TVI131098 UFB131098:UFE131098 UOX131098:UPA131098 UYT131098:UYW131098 VIP131098:VIS131098 VSL131098:VSO131098 WCH131098:WCK131098 WMD131098:WMG131098 WVZ131098:WWC131098 R196634:U196634 JN196634:JQ196634 TJ196634:TM196634 ADF196634:ADI196634 ANB196634:ANE196634 AWX196634:AXA196634 BGT196634:BGW196634 BQP196634:BQS196634 CAL196634:CAO196634 CKH196634:CKK196634 CUD196634:CUG196634 DDZ196634:DEC196634 DNV196634:DNY196634 DXR196634:DXU196634 EHN196634:EHQ196634 ERJ196634:ERM196634 FBF196634:FBI196634 FLB196634:FLE196634 FUX196634:FVA196634 GET196634:GEW196634 GOP196634:GOS196634 GYL196634:GYO196634 HIH196634:HIK196634 HSD196634:HSG196634 IBZ196634:ICC196634 ILV196634:ILY196634 IVR196634:IVU196634 JFN196634:JFQ196634 JPJ196634:JPM196634 JZF196634:JZI196634 KJB196634:KJE196634 KSX196634:KTA196634 LCT196634:LCW196634 LMP196634:LMS196634 LWL196634:LWO196634 MGH196634:MGK196634 MQD196634:MQG196634 MZZ196634:NAC196634 NJV196634:NJY196634 NTR196634:NTU196634 ODN196634:ODQ196634 ONJ196634:ONM196634 OXF196634:OXI196634 PHB196634:PHE196634 PQX196634:PRA196634 QAT196634:QAW196634 QKP196634:QKS196634 QUL196634:QUO196634 REH196634:REK196634 ROD196634:ROG196634 RXZ196634:RYC196634 SHV196634:SHY196634 SRR196634:SRU196634 TBN196634:TBQ196634 TLJ196634:TLM196634 TVF196634:TVI196634 UFB196634:UFE196634 UOX196634:UPA196634 UYT196634:UYW196634 VIP196634:VIS196634 VSL196634:VSO196634 WCH196634:WCK196634 WMD196634:WMG196634 WVZ196634:WWC196634 R262170:U262170 JN262170:JQ262170 TJ262170:TM262170 ADF262170:ADI262170 ANB262170:ANE262170 AWX262170:AXA262170 BGT262170:BGW262170 BQP262170:BQS262170 CAL262170:CAO262170 CKH262170:CKK262170 CUD262170:CUG262170 DDZ262170:DEC262170 DNV262170:DNY262170 DXR262170:DXU262170 EHN262170:EHQ262170 ERJ262170:ERM262170 FBF262170:FBI262170 FLB262170:FLE262170 FUX262170:FVA262170 GET262170:GEW262170 GOP262170:GOS262170 GYL262170:GYO262170 HIH262170:HIK262170 HSD262170:HSG262170 IBZ262170:ICC262170 ILV262170:ILY262170 IVR262170:IVU262170 JFN262170:JFQ262170 JPJ262170:JPM262170 JZF262170:JZI262170 KJB262170:KJE262170 KSX262170:KTA262170 LCT262170:LCW262170 LMP262170:LMS262170 LWL262170:LWO262170 MGH262170:MGK262170 MQD262170:MQG262170 MZZ262170:NAC262170 NJV262170:NJY262170 NTR262170:NTU262170 ODN262170:ODQ262170 ONJ262170:ONM262170 OXF262170:OXI262170 PHB262170:PHE262170 PQX262170:PRA262170 QAT262170:QAW262170 QKP262170:QKS262170 QUL262170:QUO262170 REH262170:REK262170 ROD262170:ROG262170 RXZ262170:RYC262170 SHV262170:SHY262170 SRR262170:SRU262170 TBN262170:TBQ262170 TLJ262170:TLM262170 TVF262170:TVI262170 UFB262170:UFE262170 UOX262170:UPA262170 UYT262170:UYW262170 VIP262170:VIS262170 VSL262170:VSO262170 WCH262170:WCK262170 WMD262170:WMG262170 WVZ262170:WWC262170 R327706:U327706 JN327706:JQ327706 TJ327706:TM327706 ADF327706:ADI327706 ANB327706:ANE327706 AWX327706:AXA327706 BGT327706:BGW327706 BQP327706:BQS327706 CAL327706:CAO327706 CKH327706:CKK327706 CUD327706:CUG327706 DDZ327706:DEC327706 DNV327706:DNY327706 DXR327706:DXU327706 EHN327706:EHQ327706 ERJ327706:ERM327706 FBF327706:FBI327706 FLB327706:FLE327706 FUX327706:FVA327706 GET327706:GEW327706 GOP327706:GOS327706 GYL327706:GYO327706 HIH327706:HIK327706 HSD327706:HSG327706 IBZ327706:ICC327706 ILV327706:ILY327706 IVR327706:IVU327706 JFN327706:JFQ327706 JPJ327706:JPM327706 JZF327706:JZI327706 KJB327706:KJE327706 KSX327706:KTA327706 LCT327706:LCW327706 LMP327706:LMS327706 LWL327706:LWO327706 MGH327706:MGK327706 MQD327706:MQG327706 MZZ327706:NAC327706 NJV327706:NJY327706 NTR327706:NTU327706 ODN327706:ODQ327706 ONJ327706:ONM327706 OXF327706:OXI327706 PHB327706:PHE327706 PQX327706:PRA327706 QAT327706:QAW327706 QKP327706:QKS327706 QUL327706:QUO327706 REH327706:REK327706 ROD327706:ROG327706 RXZ327706:RYC327706 SHV327706:SHY327706 SRR327706:SRU327706 TBN327706:TBQ327706 TLJ327706:TLM327706 TVF327706:TVI327706 UFB327706:UFE327706 UOX327706:UPA327706 UYT327706:UYW327706 VIP327706:VIS327706 VSL327706:VSO327706 WCH327706:WCK327706 WMD327706:WMG327706 WVZ327706:WWC327706 R393242:U393242 JN393242:JQ393242 TJ393242:TM393242 ADF393242:ADI393242 ANB393242:ANE393242 AWX393242:AXA393242 BGT393242:BGW393242 BQP393242:BQS393242 CAL393242:CAO393242 CKH393242:CKK393242 CUD393242:CUG393242 DDZ393242:DEC393242 DNV393242:DNY393242 DXR393242:DXU393242 EHN393242:EHQ393242 ERJ393242:ERM393242 FBF393242:FBI393242 FLB393242:FLE393242 FUX393242:FVA393242 GET393242:GEW393242 GOP393242:GOS393242 GYL393242:GYO393242 HIH393242:HIK393242 HSD393242:HSG393242 IBZ393242:ICC393242 ILV393242:ILY393242 IVR393242:IVU393242 JFN393242:JFQ393242 JPJ393242:JPM393242 JZF393242:JZI393242 KJB393242:KJE393242 KSX393242:KTA393242 LCT393242:LCW393242 LMP393242:LMS393242 LWL393242:LWO393242 MGH393242:MGK393242 MQD393242:MQG393242 MZZ393242:NAC393242 NJV393242:NJY393242 NTR393242:NTU393242 ODN393242:ODQ393242 ONJ393242:ONM393242 OXF393242:OXI393242 PHB393242:PHE393242 PQX393242:PRA393242 QAT393242:QAW393242 QKP393242:QKS393242 QUL393242:QUO393242 REH393242:REK393242 ROD393242:ROG393242 RXZ393242:RYC393242 SHV393242:SHY393242 SRR393242:SRU393242 TBN393242:TBQ393242 TLJ393242:TLM393242 TVF393242:TVI393242 UFB393242:UFE393242 UOX393242:UPA393242 UYT393242:UYW393242 VIP393242:VIS393242 VSL393242:VSO393242 WCH393242:WCK393242 WMD393242:WMG393242 WVZ393242:WWC393242 R458778:U458778 JN458778:JQ458778 TJ458778:TM458778 ADF458778:ADI458778 ANB458778:ANE458778 AWX458778:AXA458778 BGT458778:BGW458778 BQP458778:BQS458778 CAL458778:CAO458778 CKH458778:CKK458778 CUD458778:CUG458778 DDZ458778:DEC458778 DNV458778:DNY458778 DXR458778:DXU458778 EHN458778:EHQ458778 ERJ458778:ERM458778 FBF458778:FBI458778 FLB458778:FLE458778 FUX458778:FVA458778 GET458778:GEW458778 GOP458778:GOS458778 GYL458778:GYO458778 HIH458778:HIK458778 HSD458778:HSG458778 IBZ458778:ICC458778 ILV458778:ILY458778 IVR458778:IVU458778 JFN458778:JFQ458778 JPJ458778:JPM458778 JZF458778:JZI458778 KJB458778:KJE458778 KSX458778:KTA458778 LCT458778:LCW458778 LMP458778:LMS458778 LWL458778:LWO458778 MGH458778:MGK458778 MQD458778:MQG458778 MZZ458778:NAC458778 NJV458778:NJY458778 NTR458778:NTU458778 ODN458778:ODQ458778 ONJ458778:ONM458778 OXF458778:OXI458778 PHB458778:PHE458778 PQX458778:PRA458778 QAT458778:QAW458778 QKP458778:QKS458778 QUL458778:QUO458778 REH458778:REK458778 ROD458778:ROG458778 RXZ458778:RYC458778 SHV458778:SHY458778 SRR458778:SRU458778 TBN458778:TBQ458778 TLJ458778:TLM458778 TVF458778:TVI458778 UFB458778:UFE458778 UOX458778:UPA458778 UYT458778:UYW458778 VIP458778:VIS458778 VSL458778:VSO458778 WCH458778:WCK458778 WMD458778:WMG458778 WVZ458778:WWC458778 R524314:U524314 JN524314:JQ524314 TJ524314:TM524314 ADF524314:ADI524314 ANB524314:ANE524314 AWX524314:AXA524314 BGT524314:BGW524314 BQP524314:BQS524314 CAL524314:CAO524314 CKH524314:CKK524314 CUD524314:CUG524314 DDZ524314:DEC524314 DNV524314:DNY524314 DXR524314:DXU524314 EHN524314:EHQ524314 ERJ524314:ERM524314 FBF524314:FBI524314 FLB524314:FLE524314 FUX524314:FVA524314 GET524314:GEW524314 GOP524314:GOS524314 GYL524314:GYO524314 HIH524314:HIK524314 HSD524314:HSG524314 IBZ524314:ICC524314 ILV524314:ILY524314 IVR524314:IVU524314 JFN524314:JFQ524314 JPJ524314:JPM524314 JZF524314:JZI524314 KJB524314:KJE524314 KSX524314:KTA524314 LCT524314:LCW524314 LMP524314:LMS524314 LWL524314:LWO524314 MGH524314:MGK524314 MQD524314:MQG524314 MZZ524314:NAC524314 NJV524314:NJY524314 NTR524314:NTU524314 ODN524314:ODQ524314 ONJ524314:ONM524314 OXF524314:OXI524314 PHB524314:PHE524314 PQX524314:PRA524314 QAT524314:QAW524314 QKP524314:QKS524314 QUL524314:QUO524314 REH524314:REK524314 ROD524314:ROG524314 RXZ524314:RYC524314 SHV524314:SHY524314 SRR524314:SRU524314 TBN524314:TBQ524314 TLJ524314:TLM524314 TVF524314:TVI524314 UFB524314:UFE524314 UOX524314:UPA524314 UYT524314:UYW524314 VIP524314:VIS524314 VSL524314:VSO524314 WCH524314:WCK524314 WMD524314:WMG524314 WVZ524314:WWC524314 R589850:U589850 JN589850:JQ589850 TJ589850:TM589850 ADF589850:ADI589850 ANB589850:ANE589850 AWX589850:AXA589850 BGT589850:BGW589850 BQP589850:BQS589850 CAL589850:CAO589850 CKH589850:CKK589850 CUD589850:CUG589850 DDZ589850:DEC589850 DNV589850:DNY589850 DXR589850:DXU589850 EHN589850:EHQ589850 ERJ589850:ERM589850 FBF589850:FBI589850 FLB589850:FLE589850 FUX589850:FVA589850 GET589850:GEW589850 GOP589850:GOS589850 GYL589850:GYO589850 HIH589850:HIK589850 HSD589850:HSG589850 IBZ589850:ICC589850 ILV589850:ILY589850 IVR589850:IVU589850 JFN589850:JFQ589850 JPJ589850:JPM589850 JZF589850:JZI589850 KJB589850:KJE589850 KSX589850:KTA589850 LCT589850:LCW589850 LMP589850:LMS589850 LWL589850:LWO589850 MGH589850:MGK589850 MQD589850:MQG589850 MZZ589850:NAC589850 NJV589850:NJY589850 NTR589850:NTU589850 ODN589850:ODQ589850 ONJ589850:ONM589850 OXF589850:OXI589850 PHB589850:PHE589850 PQX589850:PRA589850 QAT589850:QAW589850 QKP589850:QKS589850 QUL589850:QUO589850 REH589850:REK589850 ROD589850:ROG589850 RXZ589850:RYC589850 SHV589850:SHY589850 SRR589850:SRU589850 TBN589850:TBQ589850 TLJ589850:TLM589850 TVF589850:TVI589850 UFB589850:UFE589850 UOX589850:UPA589850 UYT589850:UYW589850 VIP589850:VIS589850 VSL589850:VSO589850 WCH589850:WCK589850 WMD589850:WMG589850 WVZ589850:WWC589850 R655386:U655386 JN655386:JQ655386 TJ655386:TM655386 ADF655386:ADI655386 ANB655386:ANE655386 AWX655386:AXA655386 BGT655386:BGW655386 BQP655386:BQS655386 CAL655386:CAO655386 CKH655386:CKK655386 CUD655386:CUG655386 DDZ655386:DEC655386 DNV655386:DNY655386 DXR655386:DXU655386 EHN655386:EHQ655386 ERJ655386:ERM655386 FBF655386:FBI655386 FLB655386:FLE655386 FUX655386:FVA655386 GET655386:GEW655386 GOP655386:GOS655386 GYL655386:GYO655386 HIH655386:HIK655386 HSD655386:HSG655386 IBZ655386:ICC655386 ILV655386:ILY655386 IVR655386:IVU655386 JFN655386:JFQ655386 JPJ655386:JPM655386 JZF655386:JZI655386 KJB655386:KJE655386 KSX655386:KTA655386 LCT655386:LCW655386 LMP655386:LMS655386 LWL655386:LWO655386 MGH655386:MGK655386 MQD655386:MQG655386 MZZ655386:NAC655386 NJV655386:NJY655386 NTR655386:NTU655386 ODN655386:ODQ655386 ONJ655386:ONM655386 OXF655386:OXI655386 PHB655386:PHE655386 PQX655386:PRA655386 QAT655386:QAW655386 QKP655386:QKS655386 QUL655386:QUO655386 REH655386:REK655386 ROD655386:ROG655386 RXZ655386:RYC655386 SHV655386:SHY655386 SRR655386:SRU655386 TBN655386:TBQ655386 TLJ655386:TLM655386 TVF655386:TVI655386 UFB655386:UFE655386 UOX655386:UPA655386 UYT655386:UYW655386 VIP655386:VIS655386 VSL655386:VSO655386 WCH655386:WCK655386 WMD655386:WMG655386 WVZ655386:WWC655386 R720922:U720922 JN720922:JQ720922 TJ720922:TM720922 ADF720922:ADI720922 ANB720922:ANE720922 AWX720922:AXA720922 BGT720922:BGW720922 BQP720922:BQS720922 CAL720922:CAO720922 CKH720922:CKK720922 CUD720922:CUG720922 DDZ720922:DEC720922 DNV720922:DNY720922 DXR720922:DXU720922 EHN720922:EHQ720922 ERJ720922:ERM720922 FBF720922:FBI720922 FLB720922:FLE720922 FUX720922:FVA720922 GET720922:GEW720922 GOP720922:GOS720922 GYL720922:GYO720922 HIH720922:HIK720922 HSD720922:HSG720922 IBZ720922:ICC720922 ILV720922:ILY720922 IVR720922:IVU720922 JFN720922:JFQ720922 JPJ720922:JPM720922 JZF720922:JZI720922 KJB720922:KJE720922 KSX720922:KTA720922 LCT720922:LCW720922 LMP720922:LMS720922 LWL720922:LWO720922 MGH720922:MGK720922 MQD720922:MQG720922 MZZ720922:NAC720922 NJV720922:NJY720922 NTR720922:NTU720922 ODN720922:ODQ720922 ONJ720922:ONM720922 OXF720922:OXI720922 PHB720922:PHE720922 PQX720922:PRA720922 QAT720922:QAW720922 QKP720922:QKS720922 QUL720922:QUO720922 REH720922:REK720922 ROD720922:ROG720922 RXZ720922:RYC720922 SHV720922:SHY720922 SRR720922:SRU720922 TBN720922:TBQ720922 TLJ720922:TLM720922 TVF720922:TVI720922 UFB720922:UFE720922 UOX720922:UPA720922 UYT720922:UYW720922 VIP720922:VIS720922 VSL720922:VSO720922 WCH720922:WCK720922 WMD720922:WMG720922 WVZ720922:WWC720922 R786458:U786458 JN786458:JQ786458 TJ786458:TM786458 ADF786458:ADI786458 ANB786458:ANE786458 AWX786458:AXA786458 BGT786458:BGW786458 BQP786458:BQS786458 CAL786458:CAO786458 CKH786458:CKK786458 CUD786458:CUG786458 DDZ786458:DEC786458 DNV786458:DNY786458 DXR786458:DXU786458 EHN786458:EHQ786458 ERJ786458:ERM786458 FBF786458:FBI786458 FLB786458:FLE786458 FUX786458:FVA786458 GET786458:GEW786458 GOP786458:GOS786458 GYL786458:GYO786458 HIH786458:HIK786458 HSD786458:HSG786458 IBZ786458:ICC786458 ILV786458:ILY786458 IVR786458:IVU786458 JFN786458:JFQ786458 JPJ786458:JPM786458 JZF786458:JZI786458 KJB786458:KJE786458 KSX786458:KTA786458 LCT786458:LCW786458 LMP786458:LMS786458 LWL786458:LWO786458 MGH786458:MGK786458 MQD786458:MQG786458 MZZ786458:NAC786458 NJV786458:NJY786458 NTR786458:NTU786458 ODN786458:ODQ786458 ONJ786458:ONM786458 OXF786458:OXI786458 PHB786458:PHE786458 PQX786458:PRA786458 QAT786458:QAW786458 QKP786458:QKS786458 QUL786458:QUO786458 REH786458:REK786458 ROD786458:ROG786458 RXZ786458:RYC786458 SHV786458:SHY786458 SRR786458:SRU786458 TBN786458:TBQ786458 TLJ786458:TLM786458 TVF786458:TVI786458 UFB786458:UFE786458 UOX786458:UPA786458 UYT786458:UYW786458 VIP786458:VIS786458 VSL786458:VSO786458 WCH786458:WCK786458 WMD786458:WMG786458 WVZ786458:WWC786458 R851994:U851994 JN851994:JQ851994 TJ851994:TM851994 ADF851994:ADI851994 ANB851994:ANE851994 AWX851994:AXA851994 BGT851994:BGW851994 BQP851994:BQS851994 CAL851994:CAO851994 CKH851994:CKK851994 CUD851994:CUG851994 DDZ851994:DEC851994 DNV851994:DNY851994 DXR851994:DXU851994 EHN851994:EHQ851994 ERJ851994:ERM851994 FBF851994:FBI851994 FLB851994:FLE851994 FUX851994:FVA851994 GET851994:GEW851994 GOP851994:GOS851994 GYL851994:GYO851994 HIH851994:HIK851994 HSD851994:HSG851994 IBZ851994:ICC851994 ILV851994:ILY851994 IVR851994:IVU851994 JFN851994:JFQ851994 JPJ851994:JPM851994 JZF851994:JZI851994 KJB851994:KJE851994 KSX851994:KTA851994 LCT851994:LCW851994 LMP851994:LMS851994 LWL851994:LWO851994 MGH851994:MGK851994 MQD851994:MQG851994 MZZ851994:NAC851994 NJV851994:NJY851994 NTR851994:NTU851994 ODN851994:ODQ851994 ONJ851994:ONM851994 OXF851994:OXI851994 PHB851994:PHE851994 PQX851994:PRA851994 QAT851994:QAW851994 QKP851994:QKS851994 QUL851994:QUO851994 REH851994:REK851994 ROD851994:ROG851994 RXZ851994:RYC851994 SHV851994:SHY851994 SRR851994:SRU851994 TBN851994:TBQ851994 TLJ851994:TLM851994 TVF851994:TVI851994 UFB851994:UFE851994 UOX851994:UPA851994 UYT851994:UYW851994 VIP851994:VIS851994 VSL851994:VSO851994 WCH851994:WCK851994 WMD851994:WMG851994 WVZ851994:WWC851994 R917530:U917530 JN917530:JQ917530 TJ917530:TM917530 ADF917530:ADI917530 ANB917530:ANE917530 AWX917530:AXA917530 BGT917530:BGW917530 BQP917530:BQS917530 CAL917530:CAO917530 CKH917530:CKK917530 CUD917530:CUG917530 DDZ917530:DEC917530 DNV917530:DNY917530 DXR917530:DXU917530 EHN917530:EHQ917530 ERJ917530:ERM917530 FBF917530:FBI917530 FLB917530:FLE917530 FUX917530:FVA917530 GET917530:GEW917530 GOP917530:GOS917530 GYL917530:GYO917530 HIH917530:HIK917530 HSD917530:HSG917530 IBZ917530:ICC917530 ILV917530:ILY917530 IVR917530:IVU917530 JFN917530:JFQ917530 JPJ917530:JPM917530 JZF917530:JZI917530 KJB917530:KJE917530 KSX917530:KTA917530 LCT917530:LCW917530 LMP917530:LMS917530 LWL917530:LWO917530 MGH917530:MGK917530 MQD917530:MQG917530 MZZ917530:NAC917530 NJV917530:NJY917530 NTR917530:NTU917530 ODN917530:ODQ917530 ONJ917530:ONM917530 OXF917530:OXI917530 PHB917530:PHE917530 PQX917530:PRA917530 QAT917530:QAW917530 QKP917530:QKS917530 QUL917530:QUO917530 REH917530:REK917530 ROD917530:ROG917530 RXZ917530:RYC917530 SHV917530:SHY917530 SRR917530:SRU917530 TBN917530:TBQ917530 TLJ917530:TLM917530 TVF917530:TVI917530 UFB917530:UFE917530 UOX917530:UPA917530 UYT917530:UYW917530 VIP917530:VIS917530 VSL917530:VSO917530 WCH917530:WCK917530 WMD917530:WMG917530 WVZ917530:WWC917530 R983066:U983066 JN983066:JQ983066 TJ983066:TM983066 ADF983066:ADI983066 ANB983066:ANE983066 AWX983066:AXA983066 BGT983066:BGW983066 BQP983066:BQS983066 CAL983066:CAO983066 CKH983066:CKK983066 CUD983066:CUG983066 DDZ983066:DEC983066 DNV983066:DNY983066 DXR983066:DXU983066 EHN983066:EHQ983066 ERJ983066:ERM983066 FBF983066:FBI983066 FLB983066:FLE983066 FUX983066:FVA983066 GET983066:GEW983066 GOP983066:GOS983066 GYL983066:GYO983066 HIH983066:HIK983066 HSD983066:HSG983066 IBZ983066:ICC983066 ILV983066:ILY983066 IVR983066:IVU983066 JFN983066:JFQ983066 JPJ983066:JPM983066 JZF983066:JZI983066 KJB983066:KJE983066 KSX983066:KTA983066 LCT983066:LCW983066 LMP983066:LMS983066 LWL983066:LWO983066 MGH983066:MGK983066 MQD983066:MQG983066 MZZ983066:NAC983066 NJV983066:NJY983066 NTR983066:NTU983066 ODN983066:ODQ983066 ONJ983066:ONM983066 OXF983066:OXI983066 PHB983066:PHE983066 PQX983066:PRA983066 QAT983066:QAW983066 QKP983066:QKS983066 QUL983066:QUO983066 REH983066:REK983066 ROD983066:ROG983066 RXZ983066:RYC983066 SHV983066:SHY983066 SRR983066:SRU983066 TBN983066:TBQ983066 TLJ983066:TLM983066 TVF983066:TVI983066 UFB983066:UFE983066 UOX983066:UPA983066 UYT983066:UYW983066 VIP983066:VIS983066 VSL983066:VSO983066 WCH983066:WCK983066 WMD983066:WMG983066 WVZ983066:WWC983066 M11:P12 JI11:JL12 TE11:TH12 ADA11:ADD12 AMW11:AMZ12 AWS11:AWV12 BGO11:BGR12 BQK11:BQN12 CAG11:CAJ12 CKC11:CKF12 CTY11:CUB12 DDU11:DDX12 DNQ11:DNT12 DXM11:DXP12 EHI11:EHL12 ERE11:ERH12 FBA11:FBD12 FKW11:FKZ12 FUS11:FUV12 GEO11:GER12 GOK11:GON12 GYG11:GYJ12 HIC11:HIF12 HRY11:HSB12 IBU11:IBX12 ILQ11:ILT12 IVM11:IVP12 JFI11:JFL12 JPE11:JPH12 JZA11:JZD12 KIW11:KIZ12 KSS11:KSV12 LCO11:LCR12 LMK11:LMN12 LWG11:LWJ12 MGC11:MGF12 MPY11:MQB12 MZU11:MZX12 NJQ11:NJT12 NTM11:NTP12 ODI11:ODL12 ONE11:ONH12 OXA11:OXD12 PGW11:PGZ12 PQS11:PQV12 QAO11:QAR12 QKK11:QKN12 QUG11:QUJ12 REC11:REF12 RNY11:ROB12 RXU11:RXX12 SHQ11:SHT12 SRM11:SRP12 TBI11:TBL12 TLE11:TLH12 TVA11:TVD12 UEW11:UEZ12 UOS11:UOV12 UYO11:UYR12 VIK11:VIN12 VSG11:VSJ12 WCC11:WCF12 WLY11:WMB12 WVU11:WVX12 M65547:P65548 JI65547:JL65548 TE65547:TH65548 ADA65547:ADD65548 AMW65547:AMZ65548 AWS65547:AWV65548 BGO65547:BGR65548 BQK65547:BQN65548 CAG65547:CAJ65548 CKC65547:CKF65548 CTY65547:CUB65548 DDU65547:DDX65548 DNQ65547:DNT65548 DXM65547:DXP65548 EHI65547:EHL65548 ERE65547:ERH65548 FBA65547:FBD65548 FKW65547:FKZ65548 FUS65547:FUV65548 GEO65547:GER65548 GOK65547:GON65548 GYG65547:GYJ65548 HIC65547:HIF65548 HRY65547:HSB65548 IBU65547:IBX65548 ILQ65547:ILT65548 IVM65547:IVP65548 JFI65547:JFL65548 JPE65547:JPH65548 JZA65547:JZD65548 KIW65547:KIZ65548 KSS65547:KSV65548 LCO65547:LCR65548 LMK65547:LMN65548 LWG65547:LWJ65548 MGC65547:MGF65548 MPY65547:MQB65548 MZU65547:MZX65548 NJQ65547:NJT65548 NTM65547:NTP65548 ODI65547:ODL65548 ONE65547:ONH65548 OXA65547:OXD65548 PGW65547:PGZ65548 PQS65547:PQV65548 QAO65547:QAR65548 QKK65547:QKN65548 QUG65547:QUJ65548 REC65547:REF65548 RNY65547:ROB65548 RXU65547:RXX65548 SHQ65547:SHT65548 SRM65547:SRP65548 TBI65547:TBL65548 TLE65547:TLH65548 TVA65547:TVD65548 UEW65547:UEZ65548 UOS65547:UOV65548 UYO65547:UYR65548 VIK65547:VIN65548 VSG65547:VSJ65548 WCC65547:WCF65548 WLY65547:WMB65548 WVU65547:WVX65548 M131083:P131084 JI131083:JL131084 TE131083:TH131084 ADA131083:ADD131084 AMW131083:AMZ131084 AWS131083:AWV131084 BGO131083:BGR131084 BQK131083:BQN131084 CAG131083:CAJ131084 CKC131083:CKF131084 CTY131083:CUB131084 DDU131083:DDX131084 DNQ131083:DNT131084 DXM131083:DXP131084 EHI131083:EHL131084 ERE131083:ERH131084 FBA131083:FBD131084 FKW131083:FKZ131084 FUS131083:FUV131084 GEO131083:GER131084 GOK131083:GON131084 GYG131083:GYJ131084 HIC131083:HIF131084 HRY131083:HSB131084 IBU131083:IBX131084 ILQ131083:ILT131084 IVM131083:IVP131084 JFI131083:JFL131084 JPE131083:JPH131084 JZA131083:JZD131084 KIW131083:KIZ131084 KSS131083:KSV131084 LCO131083:LCR131084 LMK131083:LMN131084 LWG131083:LWJ131084 MGC131083:MGF131084 MPY131083:MQB131084 MZU131083:MZX131084 NJQ131083:NJT131084 NTM131083:NTP131084 ODI131083:ODL131084 ONE131083:ONH131084 OXA131083:OXD131084 PGW131083:PGZ131084 PQS131083:PQV131084 QAO131083:QAR131084 QKK131083:QKN131084 QUG131083:QUJ131084 REC131083:REF131084 RNY131083:ROB131084 RXU131083:RXX131084 SHQ131083:SHT131084 SRM131083:SRP131084 TBI131083:TBL131084 TLE131083:TLH131084 TVA131083:TVD131084 UEW131083:UEZ131084 UOS131083:UOV131084 UYO131083:UYR131084 VIK131083:VIN131084 VSG131083:VSJ131084 WCC131083:WCF131084 WLY131083:WMB131084 WVU131083:WVX131084 M196619:P196620 JI196619:JL196620 TE196619:TH196620 ADA196619:ADD196620 AMW196619:AMZ196620 AWS196619:AWV196620 BGO196619:BGR196620 BQK196619:BQN196620 CAG196619:CAJ196620 CKC196619:CKF196620 CTY196619:CUB196620 DDU196619:DDX196620 DNQ196619:DNT196620 DXM196619:DXP196620 EHI196619:EHL196620 ERE196619:ERH196620 FBA196619:FBD196620 FKW196619:FKZ196620 FUS196619:FUV196620 GEO196619:GER196620 GOK196619:GON196620 GYG196619:GYJ196620 HIC196619:HIF196620 HRY196619:HSB196620 IBU196619:IBX196620 ILQ196619:ILT196620 IVM196619:IVP196620 JFI196619:JFL196620 JPE196619:JPH196620 JZA196619:JZD196620 KIW196619:KIZ196620 KSS196619:KSV196620 LCO196619:LCR196620 LMK196619:LMN196620 LWG196619:LWJ196620 MGC196619:MGF196620 MPY196619:MQB196620 MZU196619:MZX196620 NJQ196619:NJT196620 NTM196619:NTP196620 ODI196619:ODL196620 ONE196619:ONH196620 OXA196619:OXD196620 PGW196619:PGZ196620 PQS196619:PQV196620 QAO196619:QAR196620 QKK196619:QKN196620 QUG196619:QUJ196620 REC196619:REF196620 RNY196619:ROB196620 RXU196619:RXX196620 SHQ196619:SHT196620 SRM196619:SRP196620 TBI196619:TBL196620 TLE196619:TLH196620 TVA196619:TVD196620 UEW196619:UEZ196620 UOS196619:UOV196620 UYO196619:UYR196620 VIK196619:VIN196620 VSG196619:VSJ196620 WCC196619:WCF196620 WLY196619:WMB196620 WVU196619:WVX196620 M262155:P262156 JI262155:JL262156 TE262155:TH262156 ADA262155:ADD262156 AMW262155:AMZ262156 AWS262155:AWV262156 BGO262155:BGR262156 BQK262155:BQN262156 CAG262155:CAJ262156 CKC262155:CKF262156 CTY262155:CUB262156 DDU262155:DDX262156 DNQ262155:DNT262156 DXM262155:DXP262156 EHI262155:EHL262156 ERE262155:ERH262156 FBA262155:FBD262156 FKW262155:FKZ262156 FUS262155:FUV262156 GEO262155:GER262156 GOK262155:GON262156 GYG262155:GYJ262156 HIC262155:HIF262156 HRY262155:HSB262156 IBU262155:IBX262156 ILQ262155:ILT262156 IVM262155:IVP262156 JFI262155:JFL262156 JPE262155:JPH262156 JZA262155:JZD262156 KIW262155:KIZ262156 KSS262155:KSV262156 LCO262155:LCR262156 LMK262155:LMN262156 LWG262155:LWJ262156 MGC262155:MGF262156 MPY262155:MQB262156 MZU262155:MZX262156 NJQ262155:NJT262156 NTM262155:NTP262156 ODI262155:ODL262156 ONE262155:ONH262156 OXA262155:OXD262156 PGW262155:PGZ262156 PQS262155:PQV262156 QAO262155:QAR262156 QKK262155:QKN262156 QUG262155:QUJ262156 REC262155:REF262156 RNY262155:ROB262156 RXU262155:RXX262156 SHQ262155:SHT262156 SRM262155:SRP262156 TBI262155:TBL262156 TLE262155:TLH262156 TVA262155:TVD262156 UEW262155:UEZ262156 UOS262155:UOV262156 UYO262155:UYR262156 VIK262155:VIN262156 VSG262155:VSJ262156 WCC262155:WCF262156 WLY262155:WMB262156 WVU262155:WVX262156 M327691:P327692 JI327691:JL327692 TE327691:TH327692 ADA327691:ADD327692 AMW327691:AMZ327692 AWS327691:AWV327692 BGO327691:BGR327692 BQK327691:BQN327692 CAG327691:CAJ327692 CKC327691:CKF327692 CTY327691:CUB327692 DDU327691:DDX327692 DNQ327691:DNT327692 DXM327691:DXP327692 EHI327691:EHL327692 ERE327691:ERH327692 FBA327691:FBD327692 FKW327691:FKZ327692 FUS327691:FUV327692 GEO327691:GER327692 GOK327691:GON327692 GYG327691:GYJ327692 HIC327691:HIF327692 HRY327691:HSB327692 IBU327691:IBX327692 ILQ327691:ILT327692 IVM327691:IVP327692 JFI327691:JFL327692 JPE327691:JPH327692 JZA327691:JZD327692 KIW327691:KIZ327692 KSS327691:KSV327692 LCO327691:LCR327692 LMK327691:LMN327692 LWG327691:LWJ327692 MGC327691:MGF327692 MPY327691:MQB327692 MZU327691:MZX327692 NJQ327691:NJT327692 NTM327691:NTP327692 ODI327691:ODL327692 ONE327691:ONH327692 OXA327691:OXD327692 PGW327691:PGZ327692 PQS327691:PQV327692 QAO327691:QAR327692 QKK327691:QKN327692 QUG327691:QUJ327692 REC327691:REF327692 RNY327691:ROB327692 RXU327691:RXX327692 SHQ327691:SHT327692 SRM327691:SRP327692 TBI327691:TBL327692 TLE327691:TLH327692 TVA327691:TVD327692 UEW327691:UEZ327692 UOS327691:UOV327692 UYO327691:UYR327692 VIK327691:VIN327692 VSG327691:VSJ327692 WCC327691:WCF327692 WLY327691:WMB327692 WVU327691:WVX327692 M393227:P393228 JI393227:JL393228 TE393227:TH393228 ADA393227:ADD393228 AMW393227:AMZ393228 AWS393227:AWV393228 BGO393227:BGR393228 BQK393227:BQN393228 CAG393227:CAJ393228 CKC393227:CKF393228 CTY393227:CUB393228 DDU393227:DDX393228 DNQ393227:DNT393228 DXM393227:DXP393228 EHI393227:EHL393228 ERE393227:ERH393228 FBA393227:FBD393228 FKW393227:FKZ393228 FUS393227:FUV393228 GEO393227:GER393228 GOK393227:GON393228 GYG393227:GYJ393228 HIC393227:HIF393228 HRY393227:HSB393228 IBU393227:IBX393228 ILQ393227:ILT393228 IVM393227:IVP393228 JFI393227:JFL393228 JPE393227:JPH393228 JZA393227:JZD393228 KIW393227:KIZ393228 KSS393227:KSV393228 LCO393227:LCR393228 LMK393227:LMN393228 LWG393227:LWJ393228 MGC393227:MGF393228 MPY393227:MQB393228 MZU393227:MZX393228 NJQ393227:NJT393228 NTM393227:NTP393228 ODI393227:ODL393228 ONE393227:ONH393228 OXA393227:OXD393228 PGW393227:PGZ393228 PQS393227:PQV393228 QAO393227:QAR393228 QKK393227:QKN393228 QUG393227:QUJ393228 REC393227:REF393228 RNY393227:ROB393228 RXU393227:RXX393228 SHQ393227:SHT393228 SRM393227:SRP393228 TBI393227:TBL393228 TLE393227:TLH393228 TVA393227:TVD393228 UEW393227:UEZ393228 UOS393227:UOV393228 UYO393227:UYR393228 VIK393227:VIN393228 VSG393227:VSJ393228 WCC393227:WCF393228 WLY393227:WMB393228 WVU393227:WVX393228 M458763:P458764 JI458763:JL458764 TE458763:TH458764 ADA458763:ADD458764 AMW458763:AMZ458764 AWS458763:AWV458764 BGO458763:BGR458764 BQK458763:BQN458764 CAG458763:CAJ458764 CKC458763:CKF458764 CTY458763:CUB458764 DDU458763:DDX458764 DNQ458763:DNT458764 DXM458763:DXP458764 EHI458763:EHL458764 ERE458763:ERH458764 FBA458763:FBD458764 FKW458763:FKZ458764 FUS458763:FUV458764 GEO458763:GER458764 GOK458763:GON458764 GYG458763:GYJ458764 HIC458763:HIF458764 HRY458763:HSB458764 IBU458763:IBX458764 ILQ458763:ILT458764 IVM458763:IVP458764 JFI458763:JFL458764 JPE458763:JPH458764 JZA458763:JZD458764 KIW458763:KIZ458764 KSS458763:KSV458764 LCO458763:LCR458764 LMK458763:LMN458764 LWG458763:LWJ458764 MGC458763:MGF458764 MPY458763:MQB458764 MZU458763:MZX458764 NJQ458763:NJT458764 NTM458763:NTP458764 ODI458763:ODL458764 ONE458763:ONH458764 OXA458763:OXD458764 PGW458763:PGZ458764 PQS458763:PQV458764 QAO458763:QAR458764 QKK458763:QKN458764 QUG458763:QUJ458764 REC458763:REF458764 RNY458763:ROB458764 RXU458763:RXX458764 SHQ458763:SHT458764 SRM458763:SRP458764 TBI458763:TBL458764 TLE458763:TLH458764 TVA458763:TVD458764 UEW458763:UEZ458764 UOS458763:UOV458764 UYO458763:UYR458764 VIK458763:VIN458764 VSG458763:VSJ458764 WCC458763:WCF458764 WLY458763:WMB458764 WVU458763:WVX458764 M524299:P524300 JI524299:JL524300 TE524299:TH524300 ADA524299:ADD524300 AMW524299:AMZ524300 AWS524299:AWV524300 BGO524299:BGR524300 BQK524299:BQN524300 CAG524299:CAJ524300 CKC524299:CKF524300 CTY524299:CUB524300 DDU524299:DDX524300 DNQ524299:DNT524300 DXM524299:DXP524300 EHI524299:EHL524300 ERE524299:ERH524300 FBA524299:FBD524300 FKW524299:FKZ524300 FUS524299:FUV524300 GEO524299:GER524300 GOK524299:GON524300 GYG524299:GYJ524300 HIC524299:HIF524300 HRY524299:HSB524300 IBU524299:IBX524300 ILQ524299:ILT524300 IVM524299:IVP524300 JFI524299:JFL524300 JPE524299:JPH524300 JZA524299:JZD524300 KIW524299:KIZ524300 KSS524299:KSV524300 LCO524299:LCR524300 LMK524299:LMN524300 LWG524299:LWJ524300 MGC524299:MGF524300 MPY524299:MQB524300 MZU524299:MZX524300 NJQ524299:NJT524300 NTM524299:NTP524300 ODI524299:ODL524300 ONE524299:ONH524300 OXA524299:OXD524300 PGW524299:PGZ524300 PQS524299:PQV524300 QAO524299:QAR524300 QKK524299:QKN524300 QUG524299:QUJ524300 REC524299:REF524300 RNY524299:ROB524300 RXU524299:RXX524300 SHQ524299:SHT524300 SRM524299:SRP524300 TBI524299:TBL524300 TLE524299:TLH524300 TVA524299:TVD524300 UEW524299:UEZ524300 UOS524299:UOV524300 UYO524299:UYR524300 VIK524299:VIN524300 VSG524299:VSJ524300 WCC524299:WCF524300 WLY524299:WMB524300 WVU524299:WVX524300 M589835:P589836 JI589835:JL589836 TE589835:TH589836 ADA589835:ADD589836 AMW589835:AMZ589836 AWS589835:AWV589836 BGO589835:BGR589836 BQK589835:BQN589836 CAG589835:CAJ589836 CKC589835:CKF589836 CTY589835:CUB589836 DDU589835:DDX589836 DNQ589835:DNT589836 DXM589835:DXP589836 EHI589835:EHL589836 ERE589835:ERH589836 FBA589835:FBD589836 FKW589835:FKZ589836 FUS589835:FUV589836 GEO589835:GER589836 GOK589835:GON589836 GYG589835:GYJ589836 HIC589835:HIF589836 HRY589835:HSB589836 IBU589835:IBX589836 ILQ589835:ILT589836 IVM589835:IVP589836 JFI589835:JFL589836 JPE589835:JPH589836 JZA589835:JZD589836 KIW589835:KIZ589836 KSS589835:KSV589836 LCO589835:LCR589836 LMK589835:LMN589836 LWG589835:LWJ589836 MGC589835:MGF589836 MPY589835:MQB589836 MZU589835:MZX589836 NJQ589835:NJT589836 NTM589835:NTP589836 ODI589835:ODL589836 ONE589835:ONH589836 OXA589835:OXD589836 PGW589835:PGZ589836 PQS589835:PQV589836 QAO589835:QAR589836 QKK589835:QKN589836 QUG589835:QUJ589836 REC589835:REF589836 RNY589835:ROB589836 RXU589835:RXX589836 SHQ589835:SHT589836 SRM589835:SRP589836 TBI589835:TBL589836 TLE589835:TLH589836 TVA589835:TVD589836 UEW589835:UEZ589836 UOS589835:UOV589836 UYO589835:UYR589836 VIK589835:VIN589836 VSG589835:VSJ589836 WCC589835:WCF589836 WLY589835:WMB589836 WVU589835:WVX589836 M655371:P655372 JI655371:JL655372 TE655371:TH655372 ADA655371:ADD655372 AMW655371:AMZ655372 AWS655371:AWV655372 BGO655371:BGR655372 BQK655371:BQN655372 CAG655371:CAJ655372 CKC655371:CKF655372 CTY655371:CUB655372 DDU655371:DDX655372 DNQ655371:DNT655372 DXM655371:DXP655372 EHI655371:EHL655372 ERE655371:ERH655372 FBA655371:FBD655372 FKW655371:FKZ655372 FUS655371:FUV655372 GEO655371:GER655372 GOK655371:GON655372 GYG655371:GYJ655372 HIC655371:HIF655372 HRY655371:HSB655372 IBU655371:IBX655372 ILQ655371:ILT655372 IVM655371:IVP655372 JFI655371:JFL655372 JPE655371:JPH655372 JZA655371:JZD655372 KIW655371:KIZ655372 KSS655371:KSV655372 LCO655371:LCR655372 LMK655371:LMN655372 LWG655371:LWJ655372 MGC655371:MGF655372 MPY655371:MQB655372 MZU655371:MZX655372 NJQ655371:NJT655372 NTM655371:NTP655372 ODI655371:ODL655372 ONE655371:ONH655372 OXA655371:OXD655372 PGW655371:PGZ655372 PQS655371:PQV655372 QAO655371:QAR655372 QKK655371:QKN655372 QUG655371:QUJ655372 REC655371:REF655372 RNY655371:ROB655372 RXU655371:RXX655372 SHQ655371:SHT655372 SRM655371:SRP655372 TBI655371:TBL655372 TLE655371:TLH655372 TVA655371:TVD655372 UEW655371:UEZ655372 UOS655371:UOV655372 UYO655371:UYR655372 VIK655371:VIN655372 VSG655371:VSJ655372 WCC655371:WCF655372 WLY655371:WMB655372 WVU655371:WVX655372 M720907:P720908 JI720907:JL720908 TE720907:TH720908 ADA720907:ADD720908 AMW720907:AMZ720908 AWS720907:AWV720908 BGO720907:BGR720908 BQK720907:BQN720908 CAG720907:CAJ720908 CKC720907:CKF720908 CTY720907:CUB720908 DDU720907:DDX720908 DNQ720907:DNT720908 DXM720907:DXP720908 EHI720907:EHL720908 ERE720907:ERH720908 FBA720907:FBD720908 FKW720907:FKZ720908 FUS720907:FUV720908 GEO720907:GER720908 GOK720907:GON720908 GYG720907:GYJ720908 HIC720907:HIF720908 HRY720907:HSB720908 IBU720907:IBX720908 ILQ720907:ILT720908 IVM720907:IVP720908 JFI720907:JFL720908 JPE720907:JPH720908 JZA720907:JZD720908 KIW720907:KIZ720908 KSS720907:KSV720908 LCO720907:LCR720908 LMK720907:LMN720908 LWG720907:LWJ720908 MGC720907:MGF720908 MPY720907:MQB720908 MZU720907:MZX720908 NJQ720907:NJT720908 NTM720907:NTP720908 ODI720907:ODL720908 ONE720907:ONH720908 OXA720907:OXD720908 PGW720907:PGZ720908 PQS720907:PQV720908 QAO720907:QAR720908 QKK720907:QKN720908 QUG720907:QUJ720908 REC720907:REF720908 RNY720907:ROB720908 RXU720907:RXX720908 SHQ720907:SHT720908 SRM720907:SRP720908 TBI720907:TBL720908 TLE720907:TLH720908 TVA720907:TVD720908 UEW720907:UEZ720908 UOS720907:UOV720908 UYO720907:UYR720908 VIK720907:VIN720908 VSG720907:VSJ720908 WCC720907:WCF720908 WLY720907:WMB720908 WVU720907:WVX720908 M786443:P786444 JI786443:JL786444 TE786443:TH786444 ADA786443:ADD786444 AMW786443:AMZ786444 AWS786443:AWV786444 BGO786443:BGR786444 BQK786443:BQN786444 CAG786443:CAJ786444 CKC786443:CKF786444 CTY786443:CUB786444 DDU786443:DDX786444 DNQ786443:DNT786444 DXM786443:DXP786444 EHI786443:EHL786444 ERE786443:ERH786444 FBA786443:FBD786444 FKW786443:FKZ786444 FUS786443:FUV786444 GEO786443:GER786444 GOK786443:GON786444 GYG786443:GYJ786444 HIC786443:HIF786444 HRY786443:HSB786444 IBU786443:IBX786444 ILQ786443:ILT786444 IVM786443:IVP786444 JFI786443:JFL786444 JPE786443:JPH786444 JZA786443:JZD786444 KIW786443:KIZ786444 KSS786443:KSV786444 LCO786443:LCR786444 LMK786443:LMN786444 LWG786443:LWJ786444 MGC786443:MGF786444 MPY786443:MQB786444 MZU786443:MZX786444 NJQ786443:NJT786444 NTM786443:NTP786444 ODI786443:ODL786444 ONE786443:ONH786444 OXA786443:OXD786444 PGW786443:PGZ786444 PQS786443:PQV786444 QAO786443:QAR786444 QKK786443:QKN786444 QUG786443:QUJ786444 REC786443:REF786444 RNY786443:ROB786444 RXU786443:RXX786444 SHQ786443:SHT786444 SRM786443:SRP786444 TBI786443:TBL786444 TLE786443:TLH786444 TVA786443:TVD786444 UEW786443:UEZ786444 UOS786443:UOV786444 UYO786443:UYR786444 VIK786443:VIN786444 VSG786443:VSJ786444 WCC786443:WCF786444 WLY786443:WMB786444 WVU786443:WVX786444 M851979:P851980 JI851979:JL851980 TE851979:TH851980 ADA851979:ADD851980 AMW851979:AMZ851980 AWS851979:AWV851980 BGO851979:BGR851980 BQK851979:BQN851980 CAG851979:CAJ851980 CKC851979:CKF851980 CTY851979:CUB851980 DDU851979:DDX851980 DNQ851979:DNT851980 DXM851979:DXP851980 EHI851979:EHL851980 ERE851979:ERH851980 FBA851979:FBD851980 FKW851979:FKZ851980 FUS851979:FUV851980 GEO851979:GER851980 GOK851979:GON851980 GYG851979:GYJ851980 HIC851979:HIF851980 HRY851979:HSB851980 IBU851979:IBX851980 ILQ851979:ILT851980 IVM851979:IVP851980 JFI851979:JFL851980 JPE851979:JPH851980 JZA851979:JZD851980 KIW851979:KIZ851980 KSS851979:KSV851980 LCO851979:LCR851980 LMK851979:LMN851980 LWG851979:LWJ851980 MGC851979:MGF851980 MPY851979:MQB851980 MZU851979:MZX851980 NJQ851979:NJT851980 NTM851979:NTP851980 ODI851979:ODL851980 ONE851979:ONH851980 OXA851979:OXD851980 PGW851979:PGZ851980 PQS851979:PQV851980 QAO851979:QAR851980 QKK851979:QKN851980 QUG851979:QUJ851980 REC851979:REF851980 RNY851979:ROB851980 RXU851979:RXX851980 SHQ851979:SHT851980 SRM851979:SRP851980 TBI851979:TBL851980 TLE851979:TLH851980 TVA851979:TVD851980 UEW851979:UEZ851980 UOS851979:UOV851980 UYO851979:UYR851980 VIK851979:VIN851980 VSG851979:VSJ851980 WCC851979:WCF851980 WLY851979:WMB851980 WVU851979:WVX851980 M917515:P917516 JI917515:JL917516 TE917515:TH917516 ADA917515:ADD917516 AMW917515:AMZ917516 AWS917515:AWV917516 BGO917515:BGR917516 BQK917515:BQN917516 CAG917515:CAJ917516 CKC917515:CKF917516 CTY917515:CUB917516 DDU917515:DDX917516 DNQ917515:DNT917516 DXM917515:DXP917516 EHI917515:EHL917516 ERE917515:ERH917516 FBA917515:FBD917516 FKW917515:FKZ917516 FUS917515:FUV917516 GEO917515:GER917516 GOK917515:GON917516 GYG917515:GYJ917516 HIC917515:HIF917516 HRY917515:HSB917516 IBU917515:IBX917516 ILQ917515:ILT917516 IVM917515:IVP917516 JFI917515:JFL917516 JPE917515:JPH917516 JZA917515:JZD917516 KIW917515:KIZ917516 KSS917515:KSV917516 LCO917515:LCR917516 LMK917515:LMN917516 LWG917515:LWJ917516 MGC917515:MGF917516 MPY917515:MQB917516 MZU917515:MZX917516 NJQ917515:NJT917516 NTM917515:NTP917516 ODI917515:ODL917516 ONE917515:ONH917516 OXA917515:OXD917516 PGW917515:PGZ917516 PQS917515:PQV917516 QAO917515:QAR917516 QKK917515:QKN917516 QUG917515:QUJ917516 REC917515:REF917516 RNY917515:ROB917516 RXU917515:RXX917516 SHQ917515:SHT917516 SRM917515:SRP917516 TBI917515:TBL917516 TLE917515:TLH917516 TVA917515:TVD917516 UEW917515:UEZ917516 UOS917515:UOV917516 UYO917515:UYR917516 VIK917515:VIN917516 VSG917515:VSJ917516 WCC917515:WCF917516 WLY917515:WMB917516 WVU917515:WVX917516 M983051:P983052 JI983051:JL983052 TE983051:TH983052 ADA983051:ADD983052 AMW983051:AMZ983052 AWS983051:AWV983052 BGO983051:BGR983052 BQK983051:BQN983052 CAG983051:CAJ983052 CKC983051:CKF983052 CTY983051:CUB983052 DDU983051:DDX983052 DNQ983051:DNT983052 DXM983051:DXP983052 EHI983051:EHL983052 ERE983051:ERH983052 FBA983051:FBD983052 FKW983051:FKZ983052 FUS983051:FUV983052 GEO983051:GER983052 GOK983051:GON983052 GYG983051:GYJ983052 HIC983051:HIF983052 HRY983051:HSB983052 IBU983051:IBX983052 ILQ983051:ILT983052 IVM983051:IVP983052 JFI983051:JFL983052 JPE983051:JPH983052 JZA983051:JZD983052 KIW983051:KIZ983052 KSS983051:KSV983052 LCO983051:LCR983052 LMK983051:LMN983052 LWG983051:LWJ983052 MGC983051:MGF983052 MPY983051:MQB983052 MZU983051:MZX983052 NJQ983051:NJT983052 NTM983051:NTP983052 ODI983051:ODL983052 ONE983051:ONH983052 OXA983051:OXD983052 PGW983051:PGZ983052 PQS983051:PQV983052 QAO983051:QAR983052 QKK983051:QKN983052 QUG983051:QUJ983052 REC983051:REF983052 RNY983051:ROB983052 RXU983051:RXX983052 SHQ983051:SHT983052 SRM983051:SRP983052 TBI983051:TBL983052 TLE983051:TLH983052 TVA983051:TVD983052 UEW983051:UEZ983052 UOS983051:UOV983052 UYO983051:UYR983052 VIK983051:VIN983052 VSG983051:VSJ983052 WCC983051:WCF983052 WLY983051:WMB983052 WVU983051:WVX983052 R28:U28 JN28:JQ28 TJ28:TM28 ADF28:ADI28 ANB28:ANE28 AWX28:AXA28 BGT28:BGW28 BQP28:BQS28 CAL28:CAO28 CKH28:CKK28 CUD28:CUG28 DDZ28:DEC28 DNV28:DNY28 DXR28:DXU28 EHN28:EHQ28 ERJ28:ERM28 FBF28:FBI28 FLB28:FLE28 FUX28:FVA28 GET28:GEW28 GOP28:GOS28 GYL28:GYO28 HIH28:HIK28 HSD28:HSG28 IBZ28:ICC28 ILV28:ILY28 IVR28:IVU28 JFN28:JFQ28 JPJ28:JPM28 JZF28:JZI28 KJB28:KJE28 KSX28:KTA28 LCT28:LCW28 LMP28:LMS28 LWL28:LWO28 MGH28:MGK28 MQD28:MQG28 MZZ28:NAC28 NJV28:NJY28 NTR28:NTU28 ODN28:ODQ28 ONJ28:ONM28 OXF28:OXI28 PHB28:PHE28 PQX28:PRA28 QAT28:QAW28 QKP28:QKS28 QUL28:QUO28 REH28:REK28 ROD28:ROG28 RXZ28:RYC28 SHV28:SHY28 SRR28:SRU28 TBN28:TBQ28 TLJ28:TLM28 TVF28:TVI28 UFB28:UFE28 UOX28:UPA28 UYT28:UYW28 VIP28:VIS28 VSL28:VSO28 WCH28:WCK28 WMD28:WMG28 WVZ28:WWC28 R65564:U65564 JN65564:JQ65564 TJ65564:TM65564 ADF65564:ADI65564 ANB65564:ANE65564 AWX65564:AXA65564 BGT65564:BGW65564 BQP65564:BQS65564 CAL65564:CAO65564 CKH65564:CKK65564 CUD65564:CUG65564 DDZ65564:DEC65564 DNV65564:DNY65564 DXR65564:DXU65564 EHN65564:EHQ65564 ERJ65564:ERM65564 FBF65564:FBI65564 FLB65564:FLE65564 FUX65564:FVA65564 GET65564:GEW65564 GOP65564:GOS65564 GYL65564:GYO65564 HIH65564:HIK65564 HSD65564:HSG65564 IBZ65564:ICC65564 ILV65564:ILY65564 IVR65564:IVU65564 JFN65564:JFQ65564 JPJ65564:JPM65564 JZF65564:JZI65564 KJB65564:KJE65564 KSX65564:KTA65564 LCT65564:LCW65564 LMP65564:LMS65564 LWL65564:LWO65564 MGH65564:MGK65564 MQD65564:MQG65564 MZZ65564:NAC65564 NJV65564:NJY65564 NTR65564:NTU65564 ODN65564:ODQ65564 ONJ65564:ONM65564 OXF65564:OXI65564 PHB65564:PHE65564 PQX65564:PRA65564 QAT65564:QAW65564 QKP65564:QKS65564 QUL65564:QUO65564 REH65564:REK65564 ROD65564:ROG65564 RXZ65564:RYC65564 SHV65564:SHY65564 SRR65564:SRU65564 TBN65564:TBQ65564 TLJ65564:TLM65564 TVF65564:TVI65564 UFB65564:UFE65564 UOX65564:UPA65564 UYT65564:UYW65564 VIP65564:VIS65564 VSL65564:VSO65564 WCH65564:WCK65564 WMD65564:WMG65564 WVZ65564:WWC65564 R131100:U131100 JN131100:JQ131100 TJ131100:TM131100 ADF131100:ADI131100 ANB131100:ANE131100 AWX131100:AXA131100 BGT131100:BGW131100 BQP131100:BQS131100 CAL131100:CAO131100 CKH131100:CKK131100 CUD131100:CUG131100 DDZ131100:DEC131100 DNV131100:DNY131100 DXR131100:DXU131100 EHN131100:EHQ131100 ERJ131100:ERM131100 FBF131100:FBI131100 FLB131100:FLE131100 FUX131100:FVA131100 GET131100:GEW131100 GOP131100:GOS131100 GYL131100:GYO131100 HIH131100:HIK131100 HSD131100:HSG131100 IBZ131100:ICC131100 ILV131100:ILY131100 IVR131100:IVU131100 JFN131100:JFQ131100 JPJ131100:JPM131100 JZF131100:JZI131100 KJB131100:KJE131100 KSX131100:KTA131100 LCT131100:LCW131100 LMP131100:LMS131100 LWL131100:LWO131100 MGH131100:MGK131100 MQD131100:MQG131100 MZZ131100:NAC131100 NJV131100:NJY131100 NTR131100:NTU131100 ODN131100:ODQ131100 ONJ131100:ONM131100 OXF131100:OXI131100 PHB131100:PHE131100 PQX131100:PRA131100 QAT131100:QAW131100 QKP131100:QKS131100 QUL131100:QUO131100 REH131100:REK131100 ROD131100:ROG131100 RXZ131100:RYC131100 SHV131100:SHY131100 SRR131100:SRU131100 TBN131100:TBQ131100 TLJ131100:TLM131100 TVF131100:TVI131100 UFB131100:UFE131100 UOX131100:UPA131100 UYT131100:UYW131100 VIP131100:VIS131100 VSL131100:VSO131100 WCH131100:WCK131100 WMD131100:WMG131100 WVZ131100:WWC131100 R196636:U196636 JN196636:JQ196636 TJ196636:TM196636 ADF196636:ADI196636 ANB196636:ANE196636 AWX196636:AXA196636 BGT196636:BGW196636 BQP196636:BQS196636 CAL196636:CAO196636 CKH196636:CKK196636 CUD196636:CUG196636 DDZ196636:DEC196636 DNV196636:DNY196636 DXR196636:DXU196636 EHN196636:EHQ196636 ERJ196636:ERM196636 FBF196636:FBI196636 FLB196636:FLE196636 FUX196636:FVA196636 GET196636:GEW196636 GOP196636:GOS196636 GYL196636:GYO196636 HIH196636:HIK196636 HSD196636:HSG196636 IBZ196636:ICC196636 ILV196636:ILY196636 IVR196636:IVU196636 JFN196636:JFQ196636 JPJ196636:JPM196636 JZF196636:JZI196636 KJB196636:KJE196636 KSX196636:KTA196636 LCT196636:LCW196636 LMP196636:LMS196636 LWL196636:LWO196636 MGH196636:MGK196636 MQD196636:MQG196636 MZZ196636:NAC196636 NJV196636:NJY196636 NTR196636:NTU196636 ODN196636:ODQ196636 ONJ196636:ONM196636 OXF196636:OXI196636 PHB196636:PHE196636 PQX196636:PRA196636 QAT196636:QAW196636 QKP196636:QKS196636 QUL196636:QUO196636 REH196636:REK196636 ROD196636:ROG196636 RXZ196636:RYC196636 SHV196636:SHY196636 SRR196636:SRU196636 TBN196636:TBQ196636 TLJ196636:TLM196636 TVF196636:TVI196636 UFB196636:UFE196636 UOX196636:UPA196636 UYT196636:UYW196636 VIP196636:VIS196636 VSL196636:VSO196636 WCH196636:WCK196636 WMD196636:WMG196636 WVZ196636:WWC196636 R262172:U262172 JN262172:JQ262172 TJ262172:TM262172 ADF262172:ADI262172 ANB262172:ANE262172 AWX262172:AXA262172 BGT262172:BGW262172 BQP262172:BQS262172 CAL262172:CAO262172 CKH262172:CKK262172 CUD262172:CUG262172 DDZ262172:DEC262172 DNV262172:DNY262172 DXR262172:DXU262172 EHN262172:EHQ262172 ERJ262172:ERM262172 FBF262172:FBI262172 FLB262172:FLE262172 FUX262172:FVA262172 GET262172:GEW262172 GOP262172:GOS262172 GYL262172:GYO262172 HIH262172:HIK262172 HSD262172:HSG262172 IBZ262172:ICC262172 ILV262172:ILY262172 IVR262172:IVU262172 JFN262172:JFQ262172 JPJ262172:JPM262172 JZF262172:JZI262172 KJB262172:KJE262172 KSX262172:KTA262172 LCT262172:LCW262172 LMP262172:LMS262172 LWL262172:LWO262172 MGH262172:MGK262172 MQD262172:MQG262172 MZZ262172:NAC262172 NJV262172:NJY262172 NTR262172:NTU262172 ODN262172:ODQ262172 ONJ262172:ONM262172 OXF262172:OXI262172 PHB262172:PHE262172 PQX262172:PRA262172 QAT262172:QAW262172 QKP262172:QKS262172 QUL262172:QUO262172 REH262172:REK262172 ROD262172:ROG262172 RXZ262172:RYC262172 SHV262172:SHY262172 SRR262172:SRU262172 TBN262172:TBQ262172 TLJ262172:TLM262172 TVF262172:TVI262172 UFB262172:UFE262172 UOX262172:UPA262172 UYT262172:UYW262172 VIP262172:VIS262172 VSL262172:VSO262172 WCH262172:WCK262172 WMD262172:WMG262172 WVZ262172:WWC262172 R327708:U327708 JN327708:JQ327708 TJ327708:TM327708 ADF327708:ADI327708 ANB327708:ANE327708 AWX327708:AXA327708 BGT327708:BGW327708 BQP327708:BQS327708 CAL327708:CAO327708 CKH327708:CKK327708 CUD327708:CUG327708 DDZ327708:DEC327708 DNV327708:DNY327708 DXR327708:DXU327708 EHN327708:EHQ327708 ERJ327708:ERM327708 FBF327708:FBI327708 FLB327708:FLE327708 FUX327708:FVA327708 GET327708:GEW327708 GOP327708:GOS327708 GYL327708:GYO327708 HIH327708:HIK327708 HSD327708:HSG327708 IBZ327708:ICC327708 ILV327708:ILY327708 IVR327708:IVU327708 JFN327708:JFQ327708 JPJ327708:JPM327708 JZF327708:JZI327708 KJB327708:KJE327708 KSX327708:KTA327708 LCT327708:LCW327708 LMP327708:LMS327708 LWL327708:LWO327708 MGH327708:MGK327708 MQD327708:MQG327708 MZZ327708:NAC327708 NJV327708:NJY327708 NTR327708:NTU327708 ODN327708:ODQ327708 ONJ327708:ONM327708 OXF327708:OXI327708 PHB327708:PHE327708 PQX327708:PRA327708 QAT327708:QAW327708 QKP327708:QKS327708 QUL327708:QUO327708 REH327708:REK327708 ROD327708:ROG327708 RXZ327708:RYC327708 SHV327708:SHY327708 SRR327708:SRU327708 TBN327708:TBQ327708 TLJ327708:TLM327708 TVF327708:TVI327708 UFB327708:UFE327708 UOX327708:UPA327708 UYT327708:UYW327708 VIP327708:VIS327708 VSL327708:VSO327708 WCH327708:WCK327708 WMD327708:WMG327708 WVZ327708:WWC327708 R393244:U393244 JN393244:JQ393244 TJ393244:TM393244 ADF393244:ADI393244 ANB393244:ANE393244 AWX393244:AXA393244 BGT393244:BGW393244 BQP393244:BQS393244 CAL393244:CAO393244 CKH393244:CKK393244 CUD393244:CUG393244 DDZ393244:DEC393244 DNV393244:DNY393244 DXR393244:DXU393244 EHN393244:EHQ393244 ERJ393244:ERM393244 FBF393244:FBI393244 FLB393244:FLE393244 FUX393244:FVA393244 GET393244:GEW393244 GOP393244:GOS393244 GYL393244:GYO393244 HIH393244:HIK393244 HSD393244:HSG393244 IBZ393244:ICC393244 ILV393244:ILY393244 IVR393244:IVU393244 JFN393244:JFQ393244 JPJ393244:JPM393244 JZF393244:JZI393244 KJB393244:KJE393244 KSX393244:KTA393244 LCT393244:LCW393244 LMP393244:LMS393244 LWL393244:LWO393244 MGH393244:MGK393244 MQD393244:MQG393244 MZZ393244:NAC393244 NJV393244:NJY393244 NTR393244:NTU393244 ODN393244:ODQ393244 ONJ393244:ONM393244 OXF393244:OXI393244 PHB393244:PHE393244 PQX393244:PRA393244 QAT393244:QAW393244 QKP393244:QKS393244 QUL393244:QUO393244 REH393244:REK393244 ROD393244:ROG393244 RXZ393244:RYC393244 SHV393244:SHY393244 SRR393244:SRU393244 TBN393244:TBQ393244 TLJ393244:TLM393244 TVF393244:TVI393244 UFB393244:UFE393244 UOX393244:UPA393244 UYT393244:UYW393244 VIP393244:VIS393244 VSL393244:VSO393244 WCH393244:WCK393244 WMD393244:WMG393244 WVZ393244:WWC393244 R458780:U458780 JN458780:JQ458780 TJ458780:TM458780 ADF458780:ADI458780 ANB458780:ANE458780 AWX458780:AXA458780 BGT458780:BGW458780 BQP458780:BQS458780 CAL458780:CAO458780 CKH458780:CKK458780 CUD458780:CUG458780 DDZ458780:DEC458780 DNV458780:DNY458780 DXR458780:DXU458780 EHN458780:EHQ458780 ERJ458780:ERM458780 FBF458780:FBI458780 FLB458780:FLE458780 FUX458780:FVA458780 GET458780:GEW458780 GOP458780:GOS458780 GYL458780:GYO458780 HIH458780:HIK458780 HSD458780:HSG458780 IBZ458780:ICC458780 ILV458780:ILY458780 IVR458780:IVU458780 JFN458780:JFQ458780 JPJ458780:JPM458780 JZF458780:JZI458780 KJB458780:KJE458780 KSX458780:KTA458780 LCT458780:LCW458780 LMP458780:LMS458780 LWL458780:LWO458780 MGH458780:MGK458780 MQD458780:MQG458780 MZZ458780:NAC458780 NJV458780:NJY458780 NTR458780:NTU458780 ODN458780:ODQ458780 ONJ458780:ONM458780 OXF458780:OXI458780 PHB458780:PHE458780 PQX458780:PRA458780 QAT458780:QAW458780 QKP458780:QKS458780 QUL458780:QUO458780 REH458780:REK458780 ROD458780:ROG458780 RXZ458780:RYC458780 SHV458780:SHY458780 SRR458780:SRU458780 TBN458780:TBQ458780 TLJ458780:TLM458780 TVF458780:TVI458780 UFB458780:UFE458780 UOX458780:UPA458780 UYT458780:UYW458780 VIP458780:VIS458780 VSL458780:VSO458780 WCH458780:WCK458780 WMD458780:WMG458780 WVZ458780:WWC458780 R524316:U524316 JN524316:JQ524316 TJ524316:TM524316 ADF524316:ADI524316 ANB524316:ANE524316 AWX524316:AXA524316 BGT524316:BGW524316 BQP524316:BQS524316 CAL524316:CAO524316 CKH524316:CKK524316 CUD524316:CUG524316 DDZ524316:DEC524316 DNV524316:DNY524316 DXR524316:DXU524316 EHN524316:EHQ524316 ERJ524316:ERM524316 FBF524316:FBI524316 FLB524316:FLE524316 FUX524316:FVA524316 GET524316:GEW524316 GOP524316:GOS524316 GYL524316:GYO524316 HIH524316:HIK524316 HSD524316:HSG524316 IBZ524316:ICC524316 ILV524316:ILY524316 IVR524316:IVU524316 JFN524316:JFQ524316 JPJ524316:JPM524316 JZF524316:JZI524316 KJB524316:KJE524316 KSX524316:KTA524316 LCT524316:LCW524316 LMP524316:LMS524316 LWL524316:LWO524316 MGH524316:MGK524316 MQD524316:MQG524316 MZZ524316:NAC524316 NJV524316:NJY524316 NTR524316:NTU524316 ODN524316:ODQ524316 ONJ524316:ONM524316 OXF524316:OXI524316 PHB524316:PHE524316 PQX524316:PRA524316 QAT524316:QAW524316 QKP524316:QKS524316 QUL524316:QUO524316 REH524316:REK524316 ROD524316:ROG524316 RXZ524316:RYC524316 SHV524316:SHY524316 SRR524316:SRU524316 TBN524316:TBQ524316 TLJ524316:TLM524316 TVF524316:TVI524316 UFB524316:UFE524316 UOX524316:UPA524316 UYT524316:UYW524316 VIP524316:VIS524316 VSL524316:VSO524316 WCH524316:WCK524316 WMD524316:WMG524316 WVZ524316:WWC524316 R589852:U589852 JN589852:JQ589852 TJ589852:TM589852 ADF589852:ADI589852 ANB589852:ANE589852 AWX589852:AXA589852 BGT589852:BGW589852 BQP589852:BQS589852 CAL589852:CAO589852 CKH589852:CKK589852 CUD589852:CUG589852 DDZ589852:DEC589852 DNV589852:DNY589852 DXR589852:DXU589852 EHN589852:EHQ589852 ERJ589852:ERM589852 FBF589852:FBI589852 FLB589852:FLE589852 FUX589852:FVA589852 GET589852:GEW589852 GOP589852:GOS589852 GYL589852:GYO589852 HIH589852:HIK589852 HSD589852:HSG589852 IBZ589852:ICC589852 ILV589852:ILY589852 IVR589852:IVU589852 JFN589852:JFQ589852 JPJ589852:JPM589852 JZF589852:JZI589852 KJB589852:KJE589852 KSX589852:KTA589852 LCT589852:LCW589852 LMP589852:LMS589852 LWL589852:LWO589852 MGH589852:MGK589852 MQD589852:MQG589852 MZZ589852:NAC589852 NJV589852:NJY589852 NTR589852:NTU589852 ODN589852:ODQ589852 ONJ589852:ONM589852 OXF589852:OXI589852 PHB589852:PHE589852 PQX589852:PRA589852 QAT589852:QAW589852 QKP589852:QKS589852 QUL589852:QUO589852 REH589852:REK589852 ROD589852:ROG589852 RXZ589852:RYC589852 SHV589852:SHY589852 SRR589852:SRU589852 TBN589852:TBQ589852 TLJ589852:TLM589852 TVF589852:TVI589852 UFB589852:UFE589852 UOX589852:UPA589852 UYT589852:UYW589852 VIP589852:VIS589852 VSL589852:VSO589852 WCH589852:WCK589852 WMD589852:WMG589852 WVZ589852:WWC589852 R655388:U655388 JN655388:JQ655388 TJ655388:TM655388 ADF655388:ADI655388 ANB655388:ANE655388 AWX655388:AXA655388 BGT655388:BGW655388 BQP655388:BQS655388 CAL655388:CAO655388 CKH655388:CKK655388 CUD655388:CUG655388 DDZ655388:DEC655388 DNV655388:DNY655388 DXR655388:DXU655388 EHN655388:EHQ655388 ERJ655388:ERM655388 FBF655388:FBI655388 FLB655388:FLE655388 FUX655388:FVA655388 GET655388:GEW655388 GOP655388:GOS655388 GYL655388:GYO655388 HIH655388:HIK655388 HSD655388:HSG655388 IBZ655388:ICC655388 ILV655388:ILY655388 IVR655388:IVU655388 JFN655388:JFQ655388 JPJ655388:JPM655388 JZF655388:JZI655388 KJB655388:KJE655388 KSX655388:KTA655388 LCT655388:LCW655388 LMP655388:LMS655388 LWL655388:LWO655388 MGH655388:MGK655388 MQD655388:MQG655388 MZZ655388:NAC655388 NJV655388:NJY655388 NTR655388:NTU655388 ODN655388:ODQ655388 ONJ655388:ONM655388 OXF655388:OXI655388 PHB655388:PHE655388 PQX655388:PRA655388 QAT655388:QAW655388 QKP655388:QKS655388 QUL655388:QUO655388 REH655388:REK655388 ROD655388:ROG655388 RXZ655388:RYC655388 SHV655388:SHY655388 SRR655388:SRU655388 TBN655388:TBQ655388 TLJ655388:TLM655388 TVF655388:TVI655388 UFB655388:UFE655388 UOX655388:UPA655388 UYT655388:UYW655388 VIP655388:VIS655388 VSL655388:VSO655388 WCH655388:WCK655388 WMD655388:WMG655388 WVZ655388:WWC655388 R720924:U720924 JN720924:JQ720924 TJ720924:TM720924 ADF720924:ADI720924 ANB720924:ANE720924 AWX720924:AXA720924 BGT720924:BGW720924 BQP720924:BQS720924 CAL720924:CAO720924 CKH720924:CKK720924 CUD720924:CUG720924 DDZ720924:DEC720924 DNV720924:DNY720924 DXR720924:DXU720924 EHN720924:EHQ720924 ERJ720924:ERM720924 FBF720924:FBI720924 FLB720924:FLE720924 FUX720924:FVA720924 GET720924:GEW720924 GOP720924:GOS720924 GYL720924:GYO720924 HIH720924:HIK720924 HSD720924:HSG720924 IBZ720924:ICC720924 ILV720924:ILY720924 IVR720924:IVU720924 JFN720924:JFQ720924 JPJ720924:JPM720924 JZF720924:JZI720924 KJB720924:KJE720924 KSX720924:KTA720924 LCT720924:LCW720924 LMP720924:LMS720924 LWL720924:LWO720924 MGH720924:MGK720924 MQD720924:MQG720924 MZZ720924:NAC720924 NJV720924:NJY720924 NTR720924:NTU720924 ODN720924:ODQ720924 ONJ720924:ONM720924 OXF720924:OXI720924 PHB720924:PHE720924 PQX720924:PRA720924 QAT720924:QAW720924 QKP720924:QKS720924 QUL720924:QUO720924 REH720924:REK720924 ROD720924:ROG720924 RXZ720924:RYC720924 SHV720924:SHY720924 SRR720924:SRU720924 TBN720924:TBQ720924 TLJ720924:TLM720924 TVF720924:TVI720924 UFB720924:UFE720924 UOX720924:UPA720924 UYT720924:UYW720924 VIP720924:VIS720924 VSL720924:VSO720924 WCH720924:WCK720924 WMD720924:WMG720924 WVZ720924:WWC720924 R786460:U786460 JN786460:JQ786460 TJ786460:TM786460 ADF786460:ADI786460 ANB786460:ANE786460 AWX786460:AXA786460 BGT786460:BGW786460 BQP786460:BQS786460 CAL786460:CAO786460 CKH786460:CKK786460 CUD786460:CUG786460 DDZ786460:DEC786460 DNV786460:DNY786460 DXR786460:DXU786460 EHN786460:EHQ786460 ERJ786460:ERM786460 FBF786460:FBI786460 FLB786460:FLE786460 FUX786460:FVA786460 GET786460:GEW786460 GOP786460:GOS786460 GYL786460:GYO786460 HIH786460:HIK786460 HSD786460:HSG786460 IBZ786460:ICC786460 ILV786460:ILY786460 IVR786460:IVU786460 JFN786460:JFQ786460 JPJ786460:JPM786460 JZF786460:JZI786460 KJB786460:KJE786460 KSX786460:KTA786460 LCT786460:LCW786460 LMP786460:LMS786460 LWL786460:LWO786460 MGH786460:MGK786460 MQD786460:MQG786460 MZZ786460:NAC786460 NJV786460:NJY786460 NTR786460:NTU786460 ODN786460:ODQ786460 ONJ786460:ONM786460 OXF786460:OXI786460 PHB786460:PHE786460 PQX786460:PRA786460 QAT786460:QAW786460 QKP786460:QKS786460 QUL786460:QUO786460 REH786460:REK786460 ROD786460:ROG786460 RXZ786460:RYC786460 SHV786460:SHY786460 SRR786460:SRU786460 TBN786460:TBQ786460 TLJ786460:TLM786460 TVF786460:TVI786460 UFB786460:UFE786460 UOX786460:UPA786460 UYT786460:UYW786460 VIP786460:VIS786460 VSL786460:VSO786460 WCH786460:WCK786460 WMD786460:WMG786460 WVZ786460:WWC786460 R851996:U851996 JN851996:JQ851996 TJ851996:TM851996 ADF851996:ADI851996 ANB851996:ANE851996 AWX851996:AXA851996 BGT851996:BGW851996 BQP851996:BQS851996 CAL851996:CAO851996 CKH851996:CKK851996 CUD851996:CUG851996 DDZ851996:DEC851996 DNV851996:DNY851996 DXR851996:DXU851996 EHN851996:EHQ851996 ERJ851996:ERM851996 FBF851996:FBI851996 FLB851996:FLE851996 FUX851996:FVA851996 GET851996:GEW851996 GOP851996:GOS851996 GYL851996:GYO851996 HIH851996:HIK851996 HSD851996:HSG851996 IBZ851996:ICC851996 ILV851996:ILY851996 IVR851996:IVU851996 JFN851996:JFQ851996 JPJ851996:JPM851996 JZF851996:JZI851996 KJB851996:KJE851996 KSX851996:KTA851996 LCT851996:LCW851996 LMP851996:LMS851996 LWL851996:LWO851996 MGH851996:MGK851996 MQD851996:MQG851996 MZZ851996:NAC851996 NJV851996:NJY851996 NTR851996:NTU851996 ODN851996:ODQ851996 ONJ851996:ONM851996 OXF851996:OXI851996 PHB851996:PHE851996 PQX851996:PRA851996 QAT851996:QAW851996 QKP851996:QKS851996 QUL851996:QUO851996 REH851996:REK851996 ROD851996:ROG851996 RXZ851996:RYC851996 SHV851996:SHY851996 SRR851996:SRU851996 TBN851996:TBQ851996 TLJ851996:TLM851996 TVF851996:TVI851996 UFB851996:UFE851996 UOX851996:UPA851996 UYT851996:UYW851996 VIP851996:VIS851996 VSL851996:VSO851996 WCH851996:WCK851996 WMD851996:WMG851996 WVZ851996:WWC851996 R917532:U917532 JN917532:JQ917532 TJ917532:TM917532 ADF917532:ADI917532 ANB917532:ANE917532 AWX917532:AXA917532 BGT917532:BGW917532 BQP917532:BQS917532 CAL917532:CAO917532 CKH917532:CKK917532 CUD917532:CUG917532 DDZ917532:DEC917532 DNV917532:DNY917532 DXR917532:DXU917532 EHN917532:EHQ917532 ERJ917532:ERM917532 FBF917532:FBI917532 FLB917532:FLE917532 FUX917532:FVA917532 GET917532:GEW917532 GOP917532:GOS917532 GYL917532:GYO917532 HIH917532:HIK917532 HSD917532:HSG917532 IBZ917532:ICC917532 ILV917532:ILY917532 IVR917532:IVU917532 JFN917532:JFQ917532 JPJ917532:JPM917532 JZF917532:JZI917532 KJB917532:KJE917532 KSX917532:KTA917532 LCT917532:LCW917532 LMP917532:LMS917532 LWL917532:LWO917532 MGH917532:MGK917532 MQD917532:MQG917532 MZZ917532:NAC917532 NJV917532:NJY917532 NTR917532:NTU917532 ODN917532:ODQ917532 ONJ917532:ONM917532 OXF917532:OXI917532 PHB917532:PHE917532 PQX917532:PRA917532 QAT917532:QAW917532 QKP917532:QKS917532 QUL917532:QUO917532 REH917532:REK917532 ROD917532:ROG917532 RXZ917532:RYC917532 SHV917532:SHY917532 SRR917532:SRU917532 TBN917532:TBQ917532 TLJ917532:TLM917532 TVF917532:TVI917532 UFB917532:UFE917532 UOX917532:UPA917532 UYT917532:UYW917532 VIP917532:VIS917532 VSL917532:VSO917532 WCH917532:WCK917532 WMD917532:WMG917532 WVZ917532:WWC917532 R983068:U983068 JN983068:JQ983068 TJ983068:TM983068 ADF983068:ADI983068 ANB983068:ANE983068 AWX983068:AXA983068 BGT983068:BGW983068 BQP983068:BQS983068 CAL983068:CAO983068 CKH983068:CKK983068 CUD983068:CUG983068 DDZ983068:DEC983068 DNV983068:DNY983068 DXR983068:DXU983068 EHN983068:EHQ983068 ERJ983068:ERM983068 FBF983068:FBI983068 FLB983068:FLE983068 FUX983068:FVA983068 GET983068:GEW983068 GOP983068:GOS983068 GYL983068:GYO983068 HIH983068:HIK983068 HSD983068:HSG983068 IBZ983068:ICC983068 ILV983068:ILY983068 IVR983068:IVU983068 JFN983068:JFQ983068 JPJ983068:JPM983068 JZF983068:JZI983068 KJB983068:KJE983068 KSX983068:KTA983068 LCT983068:LCW983068 LMP983068:LMS983068 LWL983068:LWO983068 MGH983068:MGK983068 MQD983068:MQG983068 MZZ983068:NAC983068 NJV983068:NJY983068 NTR983068:NTU983068 ODN983068:ODQ983068 ONJ983068:ONM983068 OXF983068:OXI983068 PHB983068:PHE983068 PQX983068:PRA983068 QAT983068:QAW983068 QKP983068:QKS983068 QUL983068:QUO983068 REH983068:REK983068 ROD983068:ROG983068 RXZ983068:RYC983068 SHV983068:SHY983068 SRR983068:SRU983068 TBN983068:TBQ983068 TLJ983068:TLM983068 TVF983068:TVI983068 UFB983068:UFE983068 UOX983068:UPA983068 UYT983068:UYW983068 VIP983068:VIS983068 VSL983068:VSO983068 WCH983068:WCK983068 WMD983068:WMG983068 WVZ983068:WWC983068 H56:K59 JD56:JG59 SZ56:TC59 ACV56:ACY59 AMR56:AMU59 AWN56:AWQ59 BGJ56:BGM59 BQF56:BQI59 CAB56:CAE59 CJX56:CKA59 CTT56:CTW59 DDP56:DDS59 DNL56:DNO59 DXH56:DXK59 EHD56:EHG59 EQZ56:ERC59 FAV56:FAY59 FKR56:FKU59 FUN56:FUQ59 GEJ56:GEM59 GOF56:GOI59 GYB56:GYE59 HHX56:HIA59 HRT56:HRW59 IBP56:IBS59 ILL56:ILO59 IVH56:IVK59 JFD56:JFG59 JOZ56:JPC59 JYV56:JYY59 KIR56:KIU59 KSN56:KSQ59 LCJ56:LCM59 LMF56:LMI59 LWB56:LWE59 MFX56:MGA59 MPT56:MPW59 MZP56:MZS59 NJL56:NJO59 NTH56:NTK59 ODD56:ODG59 OMZ56:ONC59 OWV56:OWY59 PGR56:PGU59 PQN56:PQQ59 QAJ56:QAM59 QKF56:QKI59 QUB56:QUE59 RDX56:REA59 RNT56:RNW59 RXP56:RXS59 SHL56:SHO59 SRH56:SRK59 TBD56:TBG59 TKZ56:TLC59 TUV56:TUY59 UER56:UEU59 UON56:UOQ59 UYJ56:UYM59 VIF56:VII59 VSB56:VSE59 WBX56:WCA59 WLT56:WLW59 WVP56:WVS59 H65592:K65595 JD65592:JG65595 SZ65592:TC65595 ACV65592:ACY65595 AMR65592:AMU65595 AWN65592:AWQ65595 BGJ65592:BGM65595 BQF65592:BQI65595 CAB65592:CAE65595 CJX65592:CKA65595 CTT65592:CTW65595 DDP65592:DDS65595 DNL65592:DNO65595 DXH65592:DXK65595 EHD65592:EHG65595 EQZ65592:ERC65595 FAV65592:FAY65595 FKR65592:FKU65595 FUN65592:FUQ65595 GEJ65592:GEM65595 GOF65592:GOI65595 GYB65592:GYE65595 HHX65592:HIA65595 HRT65592:HRW65595 IBP65592:IBS65595 ILL65592:ILO65595 IVH65592:IVK65595 JFD65592:JFG65595 JOZ65592:JPC65595 JYV65592:JYY65595 KIR65592:KIU65595 KSN65592:KSQ65595 LCJ65592:LCM65595 LMF65592:LMI65595 LWB65592:LWE65595 MFX65592:MGA65595 MPT65592:MPW65595 MZP65592:MZS65595 NJL65592:NJO65595 NTH65592:NTK65595 ODD65592:ODG65595 OMZ65592:ONC65595 OWV65592:OWY65595 PGR65592:PGU65595 PQN65592:PQQ65595 QAJ65592:QAM65595 QKF65592:QKI65595 QUB65592:QUE65595 RDX65592:REA65595 RNT65592:RNW65595 RXP65592:RXS65595 SHL65592:SHO65595 SRH65592:SRK65595 TBD65592:TBG65595 TKZ65592:TLC65595 TUV65592:TUY65595 UER65592:UEU65595 UON65592:UOQ65595 UYJ65592:UYM65595 VIF65592:VII65595 VSB65592:VSE65595 WBX65592:WCA65595 WLT65592:WLW65595 WVP65592:WVS65595 H131128:K131131 JD131128:JG131131 SZ131128:TC131131 ACV131128:ACY131131 AMR131128:AMU131131 AWN131128:AWQ131131 BGJ131128:BGM131131 BQF131128:BQI131131 CAB131128:CAE131131 CJX131128:CKA131131 CTT131128:CTW131131 DDP131128:DDS131131 DNL131128:DNO131131 DXH131128:DXK131131 EHD131128:EHG131131 EQZ131128:ERC131131 FAV131128:FAY131131 FKR131128:FKU131131 FUN131128:FUQ131131 GEJ131128:GEM131131 GOF131128:GOI131131 GYB131128:GYE131131 HHX131128:HIA131131 HRT131128:HRW131131 IBP131128:IBS131131 ILL131128:ILO131131 IVH131128:IVK131131 JFD131128:JFG131131 JOZ131128:JPC131131 JYV131128:JYY131131 KIR131128:KIU131131 KSN131128:KSQ131131 LCJ131128:LCM131131 LMF131128:LMI131131 LWB131128:LWE131131 MFX131128:MGA131131 MPT131128:MPW131131 MZP131128:MZS131131 NJL131128:NJO131131 NTH131128:NTK131131 ODD131128:ODG131131 OMZ131128:ONC131131 OWV131128:OWY131131 PGR131128:PGU131131 PQN131128:PQQ131131 QAJ131128:QAM131131 QKF131128:QKI131131 QUB131128:QUE131131 RDX131128:REA131131 RNT131128:RNW131131 RXP131128:RXS131131 SHL131128:SHO131131 SRH131128:SRK131131 TBD131128:TBG131131 TKZ131128:TLC131131 TUV131128:TUY131131 UER131128:UEU131131 UON131128:UOQ131131 UYJ131128:UYM131131 VIF131128:VII131131 VSB131128:VSE131131 WBX131128:WCA131131 WLT131128:WLW131131 WVP131128:WVS131131 H196664:K196667 JD196664:JG196667 SZ196664:TC196667 ACV196664:ACY196667 AMR196664:AMU196667 AWN196664:AWQ196667 BGJ196664:BGM196667 BQF196664:BQI196667 CAB196664:CAE196667 CJX196664:CKA196667 CTT196664:CTW196667 DDP196664:DDS196667 DNL196664:DNO196667 DXH196664:DXK196667 EHD196664:EHG196667 EQZ196664:ERC196667 FAV196664:FAY196667 FKR196664:FKU196667 FUN196664:FUQ196667 GEJ196664:GEM196667 GOF196664:GOI196667 GYB196664:GYE196667 HHX196664:HIA196667 HRT196664:HRW196667 IBP196664:IBS196667 ILL196664:ILO196667 IVH196664:IVK196667 JFD196664:JFG196667 JOZ196664:JPC196667 JYV196664:JYY196667 KIR196664:KIU196667 KSN196664:KSQ196667 LCJ196664:LCM196667 LMF196664:LMI196667 LWB196664:LWE196667 MFX196664:MGA196667 MPT196664:MPW196667 MZP196664:MZS196667 NJL196664:NJO196667 NTH196664:NTK196667 ODD196664:ODG196667 OMZ196664:ONC196667 OWV196664:OWY196667 PGR196664:PGU196667 PQN196664:PQQ196667 QAJ196664:QAM196667 QKF196664:QKI196667 QUB196664:QUE196667 RDX196664:REA196667 RNT196664:RNW196667 RXP196664:RXS196667 SHL196664:SHO196667 SRH196664:SRK196667 TBD196664:TBG196667 TKZ196664:TLC196667 TUV196664:TUY196667 UER196664:UEU196667 UON196664:UOQ196667 UYJ196664:UYM196667 VIF196664:VII196667 VSB196664:VSE196667 WBX196664:WCA196667 WLT196664:WLW196667 WVP196664:WVS196667 H262200:K262203 JD262200:JG262203 SZ262200:TC262203 ACV262200:ACY262203 AMR262200:AMU262203 AWN262200:AWQ262203 BGJ262200:BGM262203 BQF262200:BQI262203 CAB262200:CAE262203 CJX262200:CKA262203 CTT262200:CTW262203 DDP262200:DDS262203 DNL262200:DNO262203 DXH262200:DXK262203 EHD262200:EHG262203 EQZ262200:ERC262203 FAV262200:FAY262203 FKR262200:FKU262203 FUN262200:FUQ262203 GEJ262200:GEM262203 GOF262200:GOI262203 GYB262200:GYE262203 HHX262200:HIA262203 HRT262200:HRW262203 IBP262200:IBS262203 ILL262200:ILO262203 IVH262200:IVK262203 JFD262200:JFG262203 JOZ262200:JPC262203 JYV262200:JYY262203 KIR262200:KIU262203 KSN262200:KSQ262203 LCJ262200:LCM262203 LMF262200:LMI262203 LWB262200:LWE262203 MFX262200:MGA262203 MPT262200:MPW262203 MZP262200:MZS262203 NJL262200:NJO262203 NTH262200:NTK262203 ODD262200:ODG262203 OMZ262200:ONC262203 OWV262200:OWY262203 PGR262200:PGU262203 PQN262200:PQQ262203 QAJ262200:QAM262203 QKF262200:QKI262203 QUB262200:QUE262203 RDX262200:REA262203 RNT262200:RNW262203 RXP262200:RXS262203 SHL262200:SHO262203 SRH262200:SRK262203 TBD262200:TBG262203 TKZ262200:TLC262203 TUV262200:TUY262203 UER262200:UEU262203 UON262200:UOQ262203 UYJ262200:UYM262203 VIF262200:VII262203 VSB262200:VSE262203 WBX262200:WCA262203 WLT262200:WLW262203 WVP262200:WVS262203 H327736:K327739 JD327736:JG327739 SZ327736:TC327739 ACV327736:ACY327739 AMR327736:AMU327739 AWN327736:AWQ327739 BGJ327736:BGM327739 BQF327736:BQI327739 CAB327736:CAE327739 CJX327736:CKA327739 CTT327736:CTW327739 DDP327736:DDS327739 DNL327736:DNO327739 DXH327736:DXK327739 EHD327736:EHG327739 EQZ327736:ERC327739 FAV327736:FAY327739 FKR327736:FKU327739 FUN327736:FUQ327739 GEJ327736:GEM327739 GOF327736:GOI327739 GYB327736:GYE327739 HHX327736:HIA327739 HRT327736:HRW327739 IBP327736:IBS327739 ILL327736:ILO327739 IVH327736:IVK327739 JFD327736:JFG327739 JOZ327736:JPC327739 JYV327736:JYY327739 KIR327736:KIU327739 KSN327736:KSQ327739 LCJ327736:LCM327739 LMF327736:LMI327739 LWB327736:LWE327739 MFX327736:MGA327739 MPT327736:MPW327739 MZP327736:MZS327739 NJL327736:NJO327739 NTH327736:NTK327739 ODD327736:ODG327739 OMZ327736:ONC327739 OWV327736:OWY327739 PGR327736:PGU327739 PQN327736:PQQ327739 QAJ327736:QAM327739 QKF327736:QKI327739 QUB327736:QUE327739 RDX327736:REA327739 RNT327736:RNW327739 RXP327736:RXS327739 SHL327736:SHO327739 SRH327736:SRK327739 TBD327736:TBG327739 TKZ327736:TLC327739 TUV327736:TUY327739 UER327736:UEU327739 UON327736:UOQ327739 UYJ327736:UYM327739 VIF327736:VII327739 VSB327736:VSE327739 WBX327736:WCA327739 WLT327736:WLW327739 WVP327736:WVS327739 H393272:K393275 JD393272:JG393275 SZ393272:TC393275 ACV393272:ACY393275 AMR393272:AMU393275 AWN393272:AWQ393275 BGJ393272:BGM393275 BQF393272:BQI393275 CAB393272:CAE393275 CJX393272:CKA393275 CTT393272:CTW393275 DDP393272:DDS393275 DNL393272:DNO393275 DXH393272:DXK393275 EHD393272:EHG393275 EQZ393272:ERC393275 FAV393272:FAY393275 FKR393272:FKU393275 FUN393272:FUQ393275 GEJ393272:GEM393275 GOF393272:GOI393275 GYB393272:GYE393275 HHX393272:HIA393275 HRT393272:HRW393275 IBP393272:IBS393275 ILL393272:ILO393275 IVH393272:IVK393275 JFD393272:JFG393275 JOZ393272:JPC393275 JYV393272:JYY393275 KIR393272:KIU393275 KSN393272:KSQ393275 LCJ393272:LCM393275 LMF393272:LMI393275 LWB393272:LWE393275 MFX393272:MGA393275 MPT393272:MPW393275 MZP393272:MZS393275 NJL393272:NJO393275 NTH393272:NTK393275 ODD393272:ODG393275 OMZ393272:ONC393275 OWV393272:OWY393275 PGR393272:PGU393275 PQN393272:PQQ393275 QAJ393272:QAM393275 QKF393272:QKI393275 QUB393272:QUE393275 RDX393272:REA393275 RNT393272:RNW393275 RXP393272:RXS393275 SHL393272:SHO393275 SRH393272:SRK393275 TBD393272:TBG393275 TKZ393272:TLC393275 TUV393272:TUY393275 UER393272:UEU393275 UON393272:UOQ393275 UYJ393272:UYM393275 VIF393272:VII393275 VSB393272:VSE393275 WBX393272:WCA393275 WLT393272:WLW393275 WVP393272:WVS393275 H458808:K458811 JD458808:JG458811 SZ458808:TC458811 ACV458808:ACY458811 AMR458808:AMU458811 AWN458808:AWQ458811 BGJ458808:BGM458811 BQF458808:BQI458811 CAB458808:CAE458811 CJX458808:CKA458811 CTT458808:CTW458811 DDP458808:DDS458811 DNL458808:DNO458811 DXH458808:DXK458811 EHD458808:EHG458811 EQZ458808:ERC458811 FAV458808:FAY458811 FKR458808:FKU458811 FUN458808:FUQ458811 GEJ458808:GEM458811 GOF458808:GOI458811 GYB458808:GYE458811 HHX458808:HIA458811 HRT458808:HRW458811 IBP458808:IBS458811 ILL458808:ILO458811 IVH458808:IVK458811 JFD458808:JFG458811 JOZ458808:JPC458811 JYV458808:JYY458811 KIR458808:KIU458811 KSN458808:KSQ458811 LCJ458808:LCM458811 LMF458808:LMI458811 LWB458808:LWE458811 MFX458808:MGA458811 MPT458808:MPW458811 MZP458808:MZS458811 NJL458808:NJO458811 NTH458808:NTK458811 ODD458808:ODG458811 OMZ458808:ONC458811 OWV458808:OWY458811 PGR458808:PGU458811 PQN458808:PQQ458811 QAJ458808:QAM458811 QKF458808:QKI458811 QUB458808:QUE458811 RDX458808:REA458811 RNT458808:RNW458811 RXP458808:RXS458811 SHL458808:SHO458811 SRH458808:SRK458811 TBD458808:TBG458811 TKZ458808:TLC458811 TUV458808:TUY458811 UER458808:UEU458811 UON458808:UOQ458811 UYJ458808:UYM458811 VIF458808:VII458811 VSB458808:VSE458811 WBX458808:WCA458811 WLT458808:WLW458811 WVP458808:WVS458811 H524344:K524347 JD524344:JG524347 SZ524344:TC524347 ACV524344:ACY524347 AMR524344:AMU524347 AWN524344:AWQ524347 BGJ524344:BGM524347 BQF524344:BQI524347 CAB524344:CAE524347 CJX524344:CKA524347 CTT524344:CTW524347 DDP524344:DDS524347 DNL524344:DNO524347 DXH524344:DXK524347 EHD524344:EHG524347 EQZ524344:ERC524347 FAV524344:FAY524347 FKR524344:FKU524347 FUN524344:FUQ524347 GEJ524344:GEM524347 GOF524344:GOI524347 GYB524344:GYE524347 HHX524344:HIA524347 HRT524344:HRW524347 IBP524344:IBS524347 ILL524344:ILO524347 IVH524344:IVK524347 JFD524344:JFG524347 JOZ524344:JPC524347 JYV524344:JYY524347 KIR524344:KIU524347 KSN524344:KSQ524347 LCJ524344:LCM524347 LMF524344:LMI524347 LWB524344:LWE524347 MFX524344:MGA524347 MPT524344:MPW524347 MZP524344:MZS524347 NJL524344:NJO524347 NTH524344:NTK524347 ODD524344:ODG524347 OMZ524344:ONC524347 OWV524344:OWY524347 PGR524344:PGU524347 PQN524344:PQQ524347 QAJ524344:QAM524347 QKF524344:QKI524347 QUB524344:QUE524347 RDX524344:REA524347 RNT524344:RNW524347 RXP524344:RXS524347 SHL524344:SHO524347 SRH524344:SRK524347 TBD524344:TBG524347 TKZ524344:TLC524347 TUV524344:TUY524347 UER524344:UEU524347 UON524344:UOQ524347 UYJ524344:UYM524347 VIF524344:VII524347 VSB524344:VSE524347 WBX524344:WCA524347 WLT524344:WLW524347 WVP524344:WVS524347 H589880:K589883 JD589880:JG589883 SZ589880:TC589883 ACV589880:ACY589883 AMR589880:AMU589883 AWN589880:AWQ589883 BGJ589880:BGM589883 BQF589880:BQI589883 CAB589880:CAE589883 CJX589880:CKA589883 CTT589880:CTW589883 DDP589880:DDS589883 DNL589880:DNO589883 DXH589880:DXK589883 EHD589880:EHG589883 EQZ589880:ERC589883 FAV589880:FAY589883 FKR589880:FKU589883 FUN589880:FUQ589883 GEJ589880:GEM589883 GOF589880:GOI589883 GYB589880:GYE589883 HHX589880:HIA589883 HRT589880:HRW589883 IBP589880:IBS589883 ILL589880:ILO589883 IVH589880:IVK589883 JFD589880:JFG589883 JOZ589880:JPC589883 JYV589880:JYY589883 KIR589880:KIU589883 KSN589880:KSQ589883 LCJ589880:LCM589883 LMF589880:LMI589883 LWB589880:LWE589883 MFX589880:MGA589883 MPT589880:MPW589883 MZP589880:MZS589883 NJL589880:NJO589883 NTH589880:NTK589883 ODD589880:ODG589883 OMZ589880:ONC589883 OWV589880:OWY589883 PGR589880:PGU589883 PQN589880:PQQ589883 QAJ589880:QAM589883 QKF589880:QKI589883 QUB589880:QUE589883 RDX589880:REA589883 RNT589880:RNW589883 RXP589880:RXS589883 SHL589880:SHO589883 SRH589880:SRK589883 TBD589880:TBG589883 TKZ589880:TLC589883 TUV589880:TUY589883 UER589880:UEU589883 UON589880:UOQ589883 UYJ589880:UYM589883 VIF589880:VII589883 VSB589880:VSE589883 WBX589880:WCA589883 WLT589880:WLW589883 WVP589880:WVS589883 H655416:K655419 JD655416:JG655419 SZ655416:TC655419 ACV655416:ACY655419 AMR655416:AMU655419 AWN655416:AWQ655419 BGJ655416:BGM655419 BQF655416:BQI655419 CAB655416:CAE655419 CJX655416:CKA655419 CTT655416:CTW655419 DDP655416:DDS655419 DNL655416:DNO655419 DXH655416:DXK655419 EHD655416:EHG655419 EQZ655416:ERC655419 FAV655416:FAY655419 FKR655416:FKU655419 FUN655416:FUQ655419 GEJ655416:GEM655419 GOF655416:GOI655419 GYB655416:GYE655419 HHX655416:HIA655419 HRT655416:HRW655419 IBP655416:IBS655419 ILL655416:ILO655419 IVH655416:IVK655419 JFD655416:JFG655419 JOZ655416:JPC655419 JYV655416:JYY655419 KIR655416:KIU655419 KSN655416:KSQ655419 LCJ655416:LCM655419 LMF655416:LMI655419 LWB655416:LWE655419 MFX655416:MGA655419 MPT655416:MPW655419 MZP655416:MZS655419 NJL655416:NJO655419 NTH655416:NTK655419 ODD655416:ODG655419 OMZ655416:ONC655419 OWV655416:OWY655419 PGR655416:PGU655419 PQN655416:PQQ655419 QAJ655416:QAM655419 QKF655416:QKI655419 QUB655416:QUE655419 RDX655416:REA655419 RNT655416:RNW655419 RXP655416:RXS655419 SHL655416:SHO655419 SRH655416:SRK655419 TBD655416:TBG655419 TKZ655416:TLC655419 TUV655416:TUY655419 UER655416:UEU655419 UON655416:UOQ655419 UYJ655416:UYM655419 VIF655416:VII655419 VSB655416:VSE655419 WBX655416:WCA655419 WLT655416:WLW655419 WVP655416:WVS655419 H720952:K720955 JD720952:JG720955 SZ720952:TC720955 ACV720952:ACY720955 AMR720952:AMU720955 AWN720952:AWQ720955 BGJ720952:BGM720955 BQF720952:BQI720955 CAB720952:CAE720955 CJX720952:CKA720955 CTT720952:CTW720955 DDP720952:DDS720955 DNL720952:DNO720955 DXH720952:DXK720955 EHD720952:EHG720955 EQZ720952:ERC720955 FAV720952:FAY720955 FKR720952:FKU720955 FUN720952:FUQ720955 GEJ720952:GEM720955 GOF720952:GOI720955 GYB720952:GYE720955 HHX720952:HIA720955 HRT720952:HRW720955 IBP720952:IBS720955 ILL720952:ILO720955 IVH720952:IVK720955 JFD720952:JFG720955 JOZ720952:JPC720955 JYV720952:JYY720955 KIR720952:KIU720955 KSN720952:KSQ720955 LCJ720952:LCM720955 LMF720952:LMI720955 LWB720952:LWE720955 MFX720952:MGA720955 MPT720952:MPW720955 MZP720952:MZS720955 NJL720952:NJO720955 NTH720952:NTK720955 ODD720952:ODG720955 OMZ720952:ONC720955 OWV720952:OWY720955 PGR720952:PGU720955 PQN720952:PQQ720955 QAJ720952:QAM720955 QKF720952:QKI720955 QUB720952:QUE720955 RDX720952:REA720955 RNT720952:RNW720955 RXP720952:RXS720955 SHL720952:SHO720955 SRH720952:SRK720955 TBD720952:TBG720955 TKZ720952:TLC720955 TUV720952:TUY720955 UER720952:UEU720955 UON720952:UOQ720955 UYJ720952:UYM720955 VIF720952:VII720955 VSB720952:VSE720955 WBX720952:WCA720955 WLT720952:WLW720955 WVP720952:WVS720955 H786488:K786491 JD786488:JG786491 SZ786488:TC786491 ACV786488:ACY786491 AMR786488:AMU786491 AWN786488:AWQ786491 BGJ786488:BGM786491 BQF786488:BQI786491 CAB786488:CAE786491 CJX786488:CKA786491 CTT786488:CTW786491 DDP786488:DDS786491 DNL786488:DNO786491 DXH786488:DXK786491 EHD786488:EHG786491 EQZ786488:ERC786491 FAV786488:FAY786491 FKR786488:FKU786491 FUN786488:FUQ786491 GEJ786488:GEM786491 GOF786488:GOI786491 GYB786488:GYE786491 HHX786488:HIA786491 HRT786488:HRW786491 IBP786488:IBS786491 ILL786488:ILO786491 IVH786488:IVK786491 JFD786488:JFG786491 JOZ786488:JPC786491 JYV786488:JYY786491 KIR786488:KIU786491 KSN786488:KSQ786491 LCJ786488:LCM786491 LMF786488:LMI786491 LWB786488:LWE786491 MFX786488:MGA786491 MPT786488:MPW786491 MZP786488:MZS786491 NJL786488:NJO786491 NTH786488:NTK786491 ODD786488:ODG786491 OMZ786488:ONC786491 OWV786488:OWY786491 PGR786488:PGU786491 PQN786488:PQQ786491 QAJ786488:QAM786491 QKF786488:QKI786491 QUB786488:QUE786491 RDX786488:REA786491 RNT786488:RNW786491 RXP786488:RXS786491 SHL786488:SHO786491 SRH786488:SRK786491 TBD786488:TBG786491 TKZ786488:TLC786491 TUV786488:TUY786491 UER786488:UEU786491 UON786488:UOQ786491 UYJ786488:UYM786491 VIF786488:VII786491 VSB786488:VSE786491 WBX786488:WCA786491 WLT786488:WLW786491 WVP786488:WVS786491 H852024:K852027 JD852024:JG852027 SZ852024:TC852027 ACV852024:ACY852027 AMR852024:AMU852027 AWN852024:AWQ852027 BGJ852024:BGM852027 BQF852024:BQI852027 CAB852024:CAE852027 CJX852024:CKA852027 CTT852024:CTW852027 DDP852024:DDS852027 DNL852024:DNO852027 DXH852024:DXK852027 EHD852024:EHG852027 EQZ852024:ERC852027 FAV852024:FAY852027 FKR852024:FKU852027 FUN852024:FUQ852027 GEJ852024:GEM852027 GOF852024:GOI852027 GYB852024:GYE852027 HHX852024:HIA852027 HRT852024:HRW852027 IBP852024:IBS852027 ILL852024:ILO852027 IVH852024:IVK852027 JFD852024:JFG852027 JOZ852024:JPC852027 JYV852024:JYY852027 KIR852024:KIU852027 KSN852024:KSQ852027 LCJ852024:LCM852027 LMF852024:LMI852027 LWB852024:LWE852027 MFX852024:MGA852027 MPT852024:MPW852027 MZP852024:MZS852027 NJL852024:NJO852027 NTH852024:NTK852027 ODD852024:ODG852027 OMZ852024:ONC852027 OWV852024:OWY852027 PGR852024:PGU852027 PQN852024:PQQ852027 QAJ852024:QAM852027 QKF852024:QKI852027 QUB852024:QUE852027 RDX852024:REA852027 RNT852024:RNW852027 RXP852024:RXS852027 SHL852024:SHO852027 SRH852024:SRK852027 TBD852024:TBG852027 TKZ852024:TLC852027 TUV852024:TUY852027 UER852024:UEU852027 UON852024:UOQ852027 UYJ852024:UYM852027 VIF852024:VII852027 VSB852024:VSE852027 WBX852024:WCA852027 WLT852024:WLW852027 WVP852024:WVS852027 H917560:K917563 JD917560:JG917563 SZ917560:TC917563 ACV917560:ACY917563 AMR917560:AMU917563 AWN917560:AWQ917563 BGJ917560:BGM917563 BQF917560:BQI917563 CAB917560:CAE917563 CJX917560:CKA917563 CTT917560:CTW917563 DDP917560:DDS917563 DNL917560:DNO917563 DXH917560:DXK917563 EHD917560:EHG917563 EQZ917560:ERC917563 FAV917560:FAY917563 FKR917560:FKU917563 FUN917560:FUQ917563 GEJ917560:GEM917563 GOF917560:GOI917563 GYB917560:GYE917563 HHX917560:HIA917563 HRT917560:HRW917563 IBP917560:IBS917563 ILL917560:ILO917563 IVH917560:IVK917563 JFD917560:JFG917563 JOZ917560:JPC917563 JYV917560:JYY917563 KIR917560:KIU917563 KSN917560:KSQ917563 LCJ917560:LCM917563 LMF917560:LMI917563 LWB917560:LWE917563 MFX917560:MGA917563 MPT917560:MPW917563 MZP917560:MZS917563 NJL917560:NJO917563 NTH917560:NTK917563 ODD917560:ODG917563 OMZ917560:ONC917563 OWV917560:OWY917563 PGR917560:PGU917563 PQN917560:PQQ917563 QAJ917560:QAM917563 QKF917560:QKI917563 QUB917560:QUE917563 RDX917560:REA917563 RNT917560:RNW917563 RXP917560:RXS917563 SHL917560:SHO917563 SRH917560:SRK917563 TBD917560:TBG917563 TKZ917560:TLC917563 TUV917560:TUY917563 UER917560:UEU917563 UON917560:UOQ917563 UYJ917560:UYM917563 VIF917560:VII917563 VSB917560:VSE917563 WBX917560:WCA917563 WLT917560:WLW917563 WVP917560:WVS917563 H983096:K983099 JD983096:JG983099 SZ983096:TC983099 ACV983096:ACY983099 AMR983096:AMU983099 AWN983096:AWQ983099 BGJ983096:BGM983099 BQF983096:BQI983099 CAB983096:CAE983099 CJX983096:CKA983099 CTT983096:CTW983099 DDP983096:DDS983099 DNL983096:DNO983099 DXH983096:DXK983099 EHD983096:EHG983099 EQZ983096:ERC983099 FAV983096:FAY983099 FKR983096:FKU983099 FUN983096:FUQ983099 GEJ983096:GEM983099 GOF983096:GOI983099 GYB983096:GYE983099 HHX983096:HIA983099 HRT983096:HRW983099 IBP983096:IBS983099 ILL983096:ILO983099 IVH983096:IVK983099 JFD983096:JFG983099 JOZ983096:JPC983099 JYV983096:JYY983099 KIR983096:KIU983099 KSN983096:KSQ983099 LCJ983096:LCM983099 LMF983096:LMI983099 LWB983096:LWE983099 MFX983096:MGA983099 MPT983096:MPW983099 MZP983096:MZS983099 NJL983096:NJO983099 NTH983096:NTK983099 ODD983096:ODG983099 OMZ983096:ONC983099 OWV983096:OWY983099 PGR983096:PGU983099 PQN983096:PQQ983099 QAJ983096:QAM983099 QKF983096:QKI983099 QUB983096:QUE983099 RDX983096:REA983099 RNT983096:RNW983099 RXP983096:RXS983099 SHL983096:SHO983099 SRH983096:SRK983099 TBD983096:TBG983099 TKZ983096:TLC983099 TUV983096:TUY983099 UER983096:UEU983099 UON983096:UOQ983099 UYJ983096:UYM983099 VIF983096:VII983099 VSB983096:VSE983099 WBX983096:WCA983099 WLT983096:WLW983099 WVP983096:WVS983099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6"/>
  <sheetViews>
    <sheetView workbookViewId="0">
      <selection activeCell="F28" sqref="F28"/>
    </sheetView>
  </sheetViews>
  <sheetFormatPr defaultRowHeight="18"/>
  <cols>
    <col min="1" max="1" width="2.7109375" style="1472" customWidth="1"/>
    <col min="2" max="2" width="8.28515625" style="1472" customWidth="1"/>
    <col min="3" max="3" width="50.7109375" style="1472" customWidth="1"/>
    <col min="4" max="10" width="15.7109375" style="1472" customWidth="1"/>
    <col min="11" max="16384" width="9.140625" style="1472"/>
  </cols>
  <sheetData>
    <row r="1" spans="1:9">
      <c r="A1" s="1471"/>
    </row>
    <row r="2" spans="1:9" ht="20.25">
      <c r="A2" s="1471"/>
      <c r="B2" s="2179" t="s">
        <v>1240</v>
      </c>
      <c r="C2" s="2179"/>
      <c r="D2" s="2179"/>
      <c r="E2" s="2179"/>
      <c r="F2" s="2179"/>
      <c r="G2" s="2179"/>
      <c r="H2" s="2179"/>
      <c r="I2" s="2179"/>
    </row>
    <row r="3" spans="1:9">
      <c r="A3" s="1471"/>
    </row>
    <row r="4" spans="1:9">
      <c r="B4" s="2543" t="s">
        <v>12</v>
      </c>
      <c r="C4" s="2545" t="s">
        <v>1242</v>
      </c>
      <c r="D4" s="2542" t="str">
        <f>'0. Анкета'!C15-3&amp;" год"</f>
        <v>2021 год</v>
      </c>
      <c r="E4" s="2542"/>
      <c r="F4" s="2542"/>
      <c r="G4" s="2542" t="str">
        <f>'0. Анкета'!C15-2&amp;" год"</f>
        <v>2022 год</v>
      </c>
      <c r="H4" s="2542"/>
      <c r="I4" s="2542"/>
    </row>
    <row r="5" spans="1:9" ht="67.5">
      <c r="B5" s="2544"/>
      <c r="C5" s="2546"/>
      <c r="D5" s="1481" t="s">
        <v>1381</v>
      </c>
      <c r="E5" s="1481" t="s">
        <v>1287</v>
      </c>
      <c r="F5" s="1481" t="s">
        <v>1382</v>
      </c>
      <c r="G5" s="1481" t="s">
        <v>1381</v>
      </c>
      <c r="H5" s="1481" t="s">
        <v>1287</v>
      </c>
      <c r="I5" s="1481" t="s">
        <v>1382</v>
      </c>
    </row>
    <row r="6" spans="1:9">
      <c r="B6" s="1357">
        <v>1</v>
      </c>
      <c r="C6" s="1358">
        <v>2</v>
      </c>
      <c r="D6" s="1358">
        <v>3</v>
      </c>
      <c r="E6" s="1358" t="s">
        <v>820</v>
      </c>
      <c r="F6" s="1358" t="s">
        <v>822</v>
      </c>
      <c r="G6" s="1358" t="s">
        <v>824</v>
      </c>
      <c r="H6" s="1358" t="s">
        <v>832</v>
      </c>
      <c r="I6" s="1358" t="s">
        <v>833</v>
      </c>
    </row>
    <row r="7" spans="1:9" ht="45">
      <c r="B7" s="1356" t="s">
        <v>234</v>
      </c>
      <c r="C7" s="1359" t="s">
        <v>1243</v>
      </c>
      <c r="D7" s="1482"/>
      <c r="E7" s="1482"/>
      <c r="F7" s="1482"/>
      <c r="G7" s="1482"/>
      <c r="H7" s="1482"/>
      <c r="I7" s="1482"/>
    </row>
    <row r="8" spans="1:9" ht="33.75">
      <c r="B8" s="1356" t="s">
        <v>237</v>
      </c>
      <c r="C8" s="1359" t="s">
        <v>1244</v>
      </c>
      <c r="D8" s="1482"/>
      <c r="E8" s="1482"/>
      <c r="F8" s="1482"/>
      <c r="G8" s="1482"/>
      <c r="H8" s="1482"/>
      <c r="I8" s="1482"/>
    </row>
    <row r="9" spans="1:9" ht="22.5">
      <c r="B9" s="1356" t="s">
        <v>239</v>
      </c>
      <c r="C9" s="1359" t="s">
        <v>1245</v>
      </c>
      <c r="D9" s="1360">
        <f>D7-D8</f>
        <v>0</v>
      </c>
      <c r="E9" s="1360">
        <f>E7-E8</f>
        <v>0</v>
      </c>
      <c r="F9" s="1482"/>
      <c r="G9" s="1360">
        <f>G7-G8</f>
        <v>0</v>
      </c>
      <c r="H9" s="1360">
        <f>H7-H8</f>
        <v>0</v>
      </c>
      <c r="I9" s="1482"/>
    </row>
    <row r="10" spans="1:9">
      <c r="B10" s="1356" t="s">
        <v>242</v>
      </c>
      <c r="C10" s="1359" t="s">
        <v>1246</v>
      </c>
      <c r="D10" s="1360">
        <f>SUM(D11:D13)</f>
        <v>0</v>
      </c>
      <c r="E10" s="1360">
        <f>SUM(E11:E13)</f>
        <v>0</v>
      </c>
      <c r="F10" s="1482"/>
      <c r="G10" s="1360">
        <f>SUM(G11:G13)</f>
        <v>0</v>
      </c>
      <c r="H10" s="1360">
        <f>SUM(H11:H13)</f>
        <v>0</v>
      </c>
      <c r="I10" s="1482"/>
    </row>
    <row r="11" spans="1:9">
      <c r="B11" s="1362" t="s">
        <v>473</v>
      </c>
      <c r="C11" s="1363" t="s">
        <v>1247</v>
      </c>
      <c r="D11" s="1483"/>
      <c r="E11" s="1483"/>
      <c r="F11" s="1482"/>
      <c r="G11" s="1483"/>
      <c r="H11" s="1483"/>
      <c r="I11" s="1482"/>
    </row>
    <row r="12" spans="1:9">
      <c r="B12" s="1362" t="s">
        <v>481</v>
      </c>
      <c r="C12" s="1363" t="s">
        <v>1248</v>
      </c>
      <c r="D12" s="1483"/>
      <c r="E12" s="1483"/>
      <c r="F12" s="1482"/>
      <c r="G12" s="1483"/>
      <c r="H12" s="1483"/>
      <c r="I12" s="1482"/>
    </row>
    <row r="13" spans="1:9">
      <c r="B13" s="1362" t="s">
        <v>489</v>
      </c>
      <c r="C13" s="1363" t="s">
        <v>1249</v>
      </c>
      <c r="D13" s="1483"/>
      <c r="E13" s="1483"/>
      <c r="F13" s="1482"/>
      <c r="G13" s="1483"/>
      <c r="H13" s="1483"/>
      <c r="I13" s="1482"/>
    </row>
    <row r="14" spans="1:9">
      <c r="B14" s="1356" t="s">
        <v>899</v>
      </c>
      <c r="C14" s="1359" t="s">
        <v>1250</v>
      </c>
      <c r="D14" s="1360">
        <f>SUM(D15:D17)</f>
        <v>0</v>
      </c>
      <c r="E14" s="1360">
        <f>SUM(E15:E17)</f>
        <v>0</v>
      </c>
      <c r="F14" s="1482"/>
      <c r="G14" s="1360">
        <f>SUM(G15:G17)</f>
        <v>0</v>
      </c>
      <c r="H14" s="1360">
        <f>SUM(H15:H17)</f>
        <v>0</v>
      </c>
      <c r="I14" s="1482"/>
    </row>
    <row r="15" spans="1:9">
      <c r="B15" s="1362" t="s">
        <v>1251</v>
      </c>
      <c r="C15" s="1363" t="s">
        <v>1252</v>
      </c>
      <c r="D15" s="1483"/>
      <c r="E15" s="1483"/>
      <c r="F15" s="1482"/>
      <c r="G15" s="1483"/>
      <c r="H15" s="1483"/>
      <c r="I15" s="1482"/>
    </row>
    <row r="16" spans="1:9">
      <c r="B16" s="1362" t="s">
        <v>1253</v>
      </c>
      <c r="C16" s="1363" t="s">
        <v>1254</v>
      </c>
      <c r="D16" s="1483"/>
      <c r="E16" s="1483"/>
      <c r="F16" s="1482"/>
      <c r="G16" s="1483"/>
      <c r="H16" s="1483"/>
      <c r="I16" s="1482"/>
    </row>
    <row r="17" spans="1:10">
      <c r="B17" s="1362" t="s">
        <v>1255</v>
      </c>
      <c r="C17" s="1363" t="s">
        <v>1256</v>
      </c>
      <c r="D17" s="1483"/>
      <c r="E17" s="1483"/>
      <c r="F17" s="1482"/>
      <c r="G17" s="1483"/>
      <c r="H17" s="1483"/>
      <c r="I17" s="1482"/>
    </row>
    <row r="18" spans="1:10" ht="22.5">
      <c r="B18" s="1356" t="s">
        <v>860</v>
      </c>
      <c r="C18" s="1359" t="s">
        <v>1257</v>
      </c>
      <c r="D18" s="1360">
        <f>D9+D10-D14</f>
        <v>0</v>
      </c>
      <c r="E18" s="1360">
        <f>E9+E10-E14</f>
        <v>0</v>
      </c>
      <c r="F18" s="1482"/>
      <c r="G18" s="1360">
        <f>G9+G10-G14</f>
        <v>0</v>
      </c>
      <c r="H18" s="1360">
        <f>H9+H10-H14</f>
        <v>0</v>
      </c>
      <c r="I18" s="1482"/>
    </row>
    <row r="19" spans="1:10" ht="22.5">
      <c r="B19" s="1356" t="s">
        <v>862</v>
      </c>
      <c r="C19" s="1359" t="s">
        <v>1258</v>
      </c>
      <c r="D19" s="1482"/>
      <c r="E19" s="1482"/>
      <c r="F19" s="1482"/>
      <c r="G19" s="1482"/>
      <c r="H19" s="1482"/>
      <c r="I19" s="1482"/>
    </row>
    <row r="20" spans="1:10" ht="22.5">
      <c r="B20" s="1362" t="s">
        <v>872</v>
      </c>
      <c r="C20" s="1365" t="s">
        <v>1259</v>
      </c>
      <c r="D20" s="1482"/>
      <c r="E20" s="1482"/>
      <c r="F20" s="1482"/>
      <c r="G20" s="1482"/>
      <c r="H20" s="1482"/>
      <c r="I20" s="1482"/>
    </row>
    <row r="21" spans="1:10">
      <c r="B21" s="1356" t="s">
        <v>904</v>
      </c>
      <c r="C21" s="1359" t="s">
        <v>1260</v>
      </c>
      <c r="D21" s="1360">
        <f>D18-D19</f>
        <v>0</v>
      </c>
      <c r="E21" s="1360">
        <f>E18-E19</f>
        <v>0</v>
      </c>
      <c r="F21" s="1482"/>
      <c r="G21" s="1360">
        <f>G18-G19</f>
        <v>0</v>
      </c>
      <c r="H21" s="1360">
        <f>H18-H19</f>
        <v>0</v>
      </c>
      <c r="I21" s="1482"/>
    </row>
    <row r="23" spans="1:10" ht="20.25">
      <c r="A23" s="1471"/>
      <c r="B23" s="2179" t="s">
        <v>2287</v>
      </c>
      <c r="C23" s="2179"/>
      <c r="D23" s="2179"/>
      <c r="E23" s="2179"/>
      <c r="F23" s="2179"/>
      <c r="G23" s="2179"/>
      <c r="H23" s="2179"/>
      <c r="I23" s="2179"/>
    </row>
    <row r="25" spans="1:10">
      <c r="B25" s="2540" t="s">
        <v>12</v>
      </c>
      <c r="C25" s="2540" t="s">
        <v>954</v>
      </c>
      <c r="D25" s="2540" t="s">
        <v>262</v>
      </c>
      <c r="E25" s="2537" t="str">
        <f>"31.12."&amp;'0. Анкета'!C15-3&amp;" года"</f>
        <v>31.12.2021 года</v>
      </c>
      <c r="F25" s="2538"/>
      <c r="G25" s="2539"/>
      <c r="H25" s="2537" t="str">
        <f>"31.12."&amp;'0. Анкета'!C15-2&amp;" года"</f>
        <v>31.12.2022 года</v>
      </c>
      <c r="I25" s="2538"/>
      <c r="J25" s="2539"/>
    </row>
    <row r="26" spans="1:10" ht="67.5">
      <c r="B26" s="2541"/>
      <c r="C26" s="2541"/>
      <c r="D26" s="2541"/>
      <c r="E26" s="1481" t="s">
        <v>1381</v>
      </c>
      <c r="F26" s="1481" t="s">
        <v>1287</v>
      </c>
      <c r="G26" s="1481" t="s">
        <v>1382</v>
      </c>
      <c r="H26" s="1481" t="s">
        <v>1381</v>
      </c>
      <c r="I26" s="1481" t="s">
        <v>1287</v>
      </c>
      <c r="J26" s="1481" t="s">
        <v>1382</v>
      </c>
    </row>
    <row r="27" spans="1:10">
      <c r="B27" s="1367">
        <v>1</v>
      </c>
      <c r="C27" s="1367">
        <v>2</v>
      </c>
      <c r="D27" s="1367">
        <v>3</v>
      </c>
      <c r="E27" s="1367">
        <v>4</v>
      </c>
      <c r="F27" s="1367">
        <v>5</v>
      </c>
      <c r="G27" s="1367">
        <v>6</v>
      </c>
      <c r="H27" s="1367">
        <v>7</v>
      </c>
      <c r="I27" s="1367">
        <v>8</v>
      </c>
      <c r="J27" s="1367">
        <v>9</v>
      </c>
    </row>
    <row r="28" spans="1:10">
      <c r="B28" s="1368" t="s">
        <v>234</v>
      </c>
      <c r="C28" s="1369" t="s">
        <v>1267</v>
      </c>
      <c r="D28" s="1368" t="s">
        <v>226</v>
      </c>
      <c r="E28" s="1484"/>
      <c r="F28" s="1484"/>
      <c r="G28" s="1484"/>
      <c r="H28" s="1484"/>
      <c r="I28" s="1484"/>
      <c r="J28" s="1484"/>
    </row>
    <row r="29" spans="1:10">
      <c r="B29" s="1368" t="s">
        <v>237</v>
      </c>
      <c r="C29" s="1369" t="s">
        <v>1269</v>
      </c>
      <c r="D29" s="1368" t="s">
        <v>226</v>
      </c>
      <c r="E29" s="1484"/>
      <c r="F29" s="1484"/>
      <c r="G29" s="1484"/>
      <c r="H29" s="1484"/>
      <c r="I29" s="1484"/>
      <c r="J29" s="1484"/>
    </row>
    <row r="30" spans="1:10">
      <c r="B30" s="1368" t="s">
        <v>239</v>
      </c>
      <c r="C30" s="1369" t="s">
        <v>1271</v>
      </c>
      <c r="D30" s="1369"/>
      <c r="E30" s="1484"/>
      <c r="F30" s="1484"/>
      <c r="G30" s="1484"/>
      <c r="H30" s="1484"/>
      <c r="I30" s="1484"/>
      <c r="J30" s="1484"/>
    </row>
    <row r="31" spans="1:10">
      <c r="B31" s="1368" t="s">
        <v>242</v>
      </c>
      <c r="C31" s="1369" t="s">
        <v>1273</v>
      </c>
      <c r="D31" s="1369"/>
      <c r="E31" s="1484"/>
      <c r="F31" s="1484"/>
      <c r="G31" s="1484"/>
      <c r="H31" s="1484"/>
      <c r="I31" s="1484"/>
      <c r="J31" s="1484"/>
    </row>
    <row r="32" spans="1:10">
      <c r="B32" s="1368" t="s">
        <v>899</v>
      </c>
      <c r="C32" s="1369" t="s">
        <v>1275</v>
      </c>
      <c r="D32" s="1369"/>
      <c r="E32" s="1484"/>
      <c r="F32" s="1484"/>
      <c r="G32" s="1484"/>
      <c r="H32" s="1484"/>
      <c r="I32" s="1484"/>
      <c r="J32" s="1484"/>
    </row>
    <row r="33" spans="2:10">
      <c r="B33" s="1368" t="s">
        <v>860</v>
      </c>
      <c r="C33" s="1369" t="s">
        <v>1277</v>
      </c>
      <c r="D33" s="1368" t="s">
        <v>268</v>
      </c>
      <c r="E33" s="1484"/>
      <c r="F33" s="1484"/>
      <c r="G33" s="1484"/>
      <c r="H33" s="1484"/>
      <c r="I33" s="1484"/>
      <c r="J33" s="1484"/>
    </row>
    <row r="34" spans="2:10">
      <c r="B34" s="1368" t="s">
        <v>862</v>
      </c>
      <c r="C34" s="1369" t="s">
        <v>1279</v>
      </c>
      <c r="D34" s="1369"/>
      <c r="E34" s="1484"/>
      <c r="F34" s="1484"/>
      <c r="G34" s="1484"/>
      <c r="H34" s="1484"/>
      <c r="I34" s="1484"/>
      <c r="J34" s="1484"/>
    </row>
    <row r="35" spans="2:10">
      <c r="B35" s="1368" t="s">
        <v>872</v>
      </c>
      <c r="C35" s="1369" t="s">
        <v>1281</v>
      </c>
      <c r="D35" s="1369"/>
      <c r="E35" s="1484"/>
      <c r="F35" s="1484"/>
      <c r="G35" s="1484"/>
      <c r="H35" s="1484"/>
      <c r="I35" s="1484"/>
      <c r="J35" s="1484"/>
    </row>
    <row r="36" spans="2:10">
      <c r="B36" s="1998" t="s">
        <v>2288</v>
      </c>
      <c r="C36" s="440" t="s">
        <v>2289</v>
      </c>
    </row>
  </sheetData>
  <mergeCells count="11">
    <mergeCell ref="B2:I2"/>
    <mergeCell ref="B23:I23"/>
    <mergeCell ref="E25:G25"/>
    <mergeCell ref="B25:B26"/>
    <mergeCell ref="C25:C26"/>
    <mergeCell ref="D25:D26"/>
    <mergeCell ref="H25:J25"/>
    <mergeCell ref="D4:F4"/>
    <mergeCell ref="G4:I4"/>
    <mergeCell ref="B4:B5"/>
    <mergeCell ref="C4:C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7"/>
  <sheetViews>
    <sheetView topLeftCell="A13" workbookViewId="0">
      <selection activeCell="E4" sqref="E4:G5"/>
    </sheetView>
  </sheetViews>
  <sheetFormatPr defaultRowHeight="18"/>
  <cols>
    <col min="1" max="1" width="2.7109375" style="1472" customWidth="1"/>
    <col min="2" max="2" width="8.28515625" style="1472" customWidth="1"/>
    <col min="3" max="3" width="50.7109375" style="1472" customWidth="1"/>
    <col min="4" max="10" width="15.7109375" style="1472" customWidth="1"/>
    <col min="11" max="16384" width="9.140625" style="1472"/>
  </cols>
  <sheetData>
    <row r="1" spans="1:9">
      <c r="A1" s="1471"/>
    </row>
    <row r="2" spans="1:9" s="1347" customFormat="1" ht="20.25">
      <c r="B2" s="2099" t="s">
        <v>1305</v>
      </c>
      <c r="C2" s="2099"/>
      <c r="D2" s="2099"/>
      <c r="E2" s="2099"/>
      <c r="F2" s="2099"/>
      <c r="G2" s="2099"/>
      <c r="H2" s="2099"/>
      <c r="I2" s="2099"/>
    </row>
    <row r="3" spans="1:9" s="1347" customFormat="1" ht="20.25">
      <c r="B3" s="1486"/>
      <c r="C3" s="1486"/>
      <c r="D3" s="1486"/>
      <c r="E3" s="1486"/>
      <c r="F3" s="1486"/>
      <c r="G3" s="1486"/>
      <c r="H3" s="1486"/>
      <c r="I3" s="1486"/>
    </row>
    <row r="4" spans="1:9" s="1347" customFormat="1" ht="20.25">
      <c r="B4" s="2547" t="s">
        <v>1903</v>
      </c>
      <c r="C4" s="2547"/>
      <c r="D4" s="2547"/>
      <c r="E4" s="2548"/>
      <c r="F4" s="2548"/>
      <c r="G4" s="2548"/>
      <c r="H4" s="1486"/>
      <c r="I4" s="1486"/>
    </row>
    <row r="5" spans="1:9" s="1347" customFormat="1" ht="20.25">
      <c r="B5" s="2547" t="s">
        <v>1904</v>
      </c>
      <c r="C5" s="2547"/>
      <c r="D5" s="2547"/>
      <c r="E5" s="2549"/>
      <c r="F5" s="2549"/>
      <c r="G5" s="2549"/>
      <c r="H5" s="1486"/>
      <c r="I5" s="1486"/>
    </row>
    <row r="6" spans="1:9" s="1347" customFormat="1" ht="20.25">
      <c r="B6" s="1486"/>
      <c r="C6" s="1486"/>
      <c r="D6" s="1486"/>
      <c r="E6" s="1486"/>
      <c r="F6" s="1486"/>
      <c r="G6" s="1486"/>
      <c r="H6" s="1486"/>
      <c r="I6" s="1486"/>
    </row>
    <row r="7" spans="1:9" s="1347" customFormat="1" ht="20.25">
      <c r="B7" s="1486"/>
      <c r="C7" s="1486"/>
      <c r="D7" s="1486"/>
      <c r="E7" s="1486"/>
      <c r="F7" s="1486"/>
      <c r="G7" s="1486"/>
      <c r="H7" s="1486"/>
      <c r="I7" s="1486"/>
    </row>
    <row r="8" spans="1:9" s="1347" customFormat="1">
      <c r="B8" s="1485" t="s">
        <v>1895</v>
      </c>
    </row>
    <row r="9" spans="1:9" s="1347" customFormat="1" ht="15">
      <c r="B9" s="1373" t="s">
        <v>12</v>
      </c>
      <c r="C9" s="1373" t="s">
        <v>954</v>
      </c>
      <c r="D9" s="1373" t="s">
        <v>262</v>
      </c>
      <c r="E9" s="1380" t="str">
        <f>'0. Анкета'!$C$13&amp;" год"</f>
        <v>2019 год</v>
      </c>
      <c r="F9" s="1380" t="str">
        <f>'0. Анкета'!$C$13+1&amp;" год"</f>
        <v>2020 год</v>
      </c>
      <c r="G9" s="1380" t="str">
        <f>'0. Анкета'!$C$13+2&amp;" год"</f>
        <v>2021 год</v>
      </c>
      <c r="H9" s="1380" t="str">
        <f>'0. Анкета'!$C$13+3&amp;" год"</f>
        <v>2022 год</v>
      </c>
      <c r="I9" s="1380" t="str">
        <f>'0. Анкета'!$C$13+4&amp;" год"</f>
        <v>2023 год</v>
      </c>
    </row>
    <row r="10" spans="1:9" s="1347" customFormat="1" ht="15">
      <c r="B10" s="1374">
        <v>1</v>
      </c>
      <c r="C10" s="1374">
        <v>2</v>
      </c>
      <c r="D10" s="1374">
        <v>3</v>
      </c>
      <c r="E10" s="1374">
        <v>4</v>
      </c>
      <c r="F10" s="1374">
        <v>5</v>
      </c>
      <c r="G10" s="1374">
        <v>6</v>
      </c>
      <c r="H10" s="1374">
        <v>7</v>
      </c>
      <c r="I10" s="1374">
        <v>8</v>
      </c>
    </row>
    <row r="11" spans="1:9" s="1347" customFormat="1" ht="15">
      <c r="B11" s="1372" t="s">
        <v>234</v>
      </c>
      <c r="C11" s="1375" t="s">
        <v>1897</v>
      </c>
      <c r="D11" s="1372" t="s">
        <v>1293</v>
      </c>
      <c r="E11" s="1487"/>
      <c r="F11" s="1487"/>
      <c r="G11" s="1487"/>
      <c r="H11" s="1487"/>
      <c r="I11" s="1487"/>
    </row>
    <row r="12" spans="1:9" s="1347" customFormat="1" ht="15">
      <c r="B12" s="1372" t="s">
        <v>237</v>
      </c>
      <c r="C12" s="1375" t="s">
        <v>1898</v>
      </c>
      <c r="D12" s="1372" t="s">
        <v>268</v>
      </c>
      <c r="E12" s="1488"/>
      <c r="F12" s="1488"/>
      <c r="G12" s="1488"/>
      <c r="H12" s="1488"/>
      <c r="I12" s="1488"/>
    </row>
    <row r="13" spans="1:9" s="1347" customFormat="1" ht="15.75" customHeight="1">
      <c r="B13" s="1372" t="s">
        <v>239</v>
      </c>
      <c r="C13" s="1375" t="s">
        <v>1309</v>
      </c>
      <c r="D13" s="1372" t="s">
        <v>1293</v>
      </c>
      <c r="E13" s="1487"/>
      <c r="F13" s="1487"/>
      <c r="G13" s="1487"/>
      <c r="H13" s="1487"/>
      <c r="I13" s="1487"/>
    </row>
    <row r="14" spans="1:9" s="1347" customFormat="1" ht="15">
      <c r="B14" s="1372" t="s">
        <v>242</v>
      </c>
      <c r="C14" s="1375" t="s">
        <v>1311</v>
      </c>
      <c r="D14" s="1372" t="s">
        <v>1293</v>
      </c>
      <c r="E14" s="1487"/>
      <c r="F14" s="1487"/>
      <c r="G14" s="1487"/>
      <c r="H14" s="1487"/>
      <c r="I14" s="1487"/>
    </row>
    <row r="15" spans="1:9" s="1347" customFormat="1" ht="33.75">
      <c r="B15" s="1372" t="s">
        <v>899</v>
      </c>
      <c r="C15" s="1375" t="s">
        <v>1312</v>
      </c>
      <c r="D15" s="1372" t="s">
        <v>268</v>
      </c>
      <c r="E15" s="1487"/>
      <c r="F15" s="1487"/>
      <c r="G15" s="1487"/>
      <c r="H15" s="1487"/>
      <c r="I15" s="1487"/>
    </row>
    <row r="16" spans="1:9" s="1347" customFormat="1" ht="33.75">
      <c r="B16" s="1372" t="s">
        <v>860</v>
      </c>
      <c r="C16" s="1375" t="s">
        <v>1313</v>
      </c>
      <c r="D16" s="1372" t="s">
        <v>268</v>
      </c>
      <c r="E16" s="1487"/>
      <c r="F16" s="1487"/>
      <c r="G16" s="1487"/>
      <c r="H16" s="1487"/>
      <c r="I16" s="1487"/>
    </row>
    <row r="17" spans="2:9" s="1347" customFormat="1" ht="15">
      <c r="B17" s="1372" t="s">
        <v>862</v>
      </c>
      <c r="C17" s="1375" t="s">
        <v>1314</v>
      </c>
      <c r="D17" s="1372" t="s">
        <v>389</v>
      </c>
      <c r="E17" s="1487"/>
      <c r="F17" s="1487"/>
      <c r="G17" s="1487"/>
      <c r="H17" s="1487"/>
      <c r="I17" s="1487"/>
    </row>
    <row r="18" spans="2:9" s="1347" customFormat="1" ht="15">
      <c r="B18" s="1372" t="s">
        <v>872</v>
      </c>
      <c r="C18" s="1375" t="s">
        <v>1899</v>
      </c>
      <c r="D18" s="1372"/>
      <c r="E18" s="1487"/>
      <c r="F18" s="1487"/>
      <c r="G18" s="1487"/>
      <c r="H18" s="1487"/>
      <c r="I18" s="1487"/>
    </row>
    <row r="19" spans="2:9" s="1347" customFormat="1" ht="22.5">
      <c r="B19" s="1372" t="s">
        <v>904</v>
      </c>
      <c r="C19" s="1375" t="s">
        <v>1315</v>
      </c>
      <c r="D19" s="1372" t="s">
        <v>268</v>
      </c>
      <c r="E19" s="1488"/>
      <c r="F19" s="1488"/>
      <c r="G19" s="1488"/>
      <c r="H19" s="1488"/>
      <c r="I19" s="1488"/>
    </row>
    <row r="20" spans="2:9" s="1347" customFormat="1" ht="15">
      <c r="B20" s="1372" t="s">
        <v>906</v>
      </c>
      <c r="C20" s="1375" t="s">
        <v>1316</v>
      </c>
      <c r="D20" s="1372"/>
      <c r="E20" s="1487"/>
      <c r="F20" s="1487"/>
      <c r="G20" s="1487"/>
      <c r="H20" s="1487"/>
      <c r="I20" s="1487"/>
    </row>
    <row r="21" spans="2:9" s="1347" customFormat="1" ht="22.5">
      <c r="B21" s="1372" t="s">
        <v>908</v>
      </c>
      <c r="C21" s="1375" t="s">
        <v>1317</v>
      </c>
      <c r="D21" s="1372" t="s">
        <v>1318</v>
      </c>
      <c r="E21" s="1487"/>
      <c r="F21" s="1487"/>
      <c r="G21" s="1487"/>
      <c r="H21" s="1487"/>
      <c r="I21" s="1487"/>
    </row>
    <row r="22" spans="2:9" s="1347" customFormat="1" ht="22.5">
      <c r="B22" s="1372" t="s">
        <v>910</v>
      </c>
      <c r="C22" s="1375" t="s">
        <v>1319</v>
      </c>
      <c r="D22" s="1372" t="s">
        <v>1320</v>
      </c>
      <c r="E22" s="1487"/>
      <c r="F22" s="1487"/>
      <c r="G22" s="1487"/>
      <c r="H22" s="1487"/>
      <c r="I22" s="1487"/>
    </row>
    <row r="23" spans="2:9" s="1347" customFormat="1" ht="15">
      <c r="B23" s="1372" t="s">
        <v>912</v>
      </c>
      <c r="C23" s="1375" t="s">
        <v>1321</v>
      </c>
      <c r="D23" s="1372"/>
      <c r="E23" s="1487"/>
      <c r="F23" s="1487"/>
      <c r="G23" s="1487"/>
      <c r="H23" s="1487"/>
      <c r="I23" s="1487"/>
    </row>
    <row r="24" spans="2:9" s="1347" customFormat="1" ht="22.5">
      <c r="B24" s="1372" t="s">
        <v>1322</v>
      </c>
      <c r="C24" s="1375" t="s">
        <v>1323</v>
      </c>
      <c r="D24" s="1372"/>
      <c r="E24" s="1487"/>
      <c r="F24" s="1487"/>
      <c r="G24" s="1487"/>
      <c r="H24" s="1487"/>
      <c r="I24" s="1487"/>
    </row>
    <row r="25" spans="2:9" s="1347" customFormat="1" ht="15"/>
    <row r="26" spans="2:9" s="1347" customFormat="1">
      <c r="B26" s="1485" t="s">
        <v>1896</v>
      </c>
    </row>
    <row r="27" spans="2:9" s="1347" customFormat="1" ht="15">
      <c r="B27" s="1373" t="s">
        <v>12</v>
      </c>
      <c r="C27" s="1373" t="s">
        <v>954</v>
      </c>
      <c r="D27" s="1373" t="s">
        <v>262</v>
      </c>
      <c r="E27" s="1380" t="str">
        <f>E9</f>
        <v>2019 год</v>
      </c>
      <c r="F27" s="1380" t="str">
        <f t="shared" ref="F27:I27" si="0">F9</f>
        <v>2020 год</v>
      </c>
      <c r="G27" s="1380" t="str">
        <f t="shared" si="0"/>
        <v>2021 год</v>
      </c>
      <c r="H27" s="1380" t="str">
        <f t="shared" si="0"/>
        <v>2022 год</v>
      </c>
      <c r="I27" s="1380" t="str">
        <f t="shared" si="0"/>
        <v>2023 год</v>
      </c>
    </row>
    <row r="28" spans="2:9" s="1347" customFormat="1" ht="15">
      <c r="B28" s="1374">
        <v>1</v>
      </c>
      <c r="C28" s="1374">
        <v>2</v>
      </c>
      <c r="D28" s="1374">
        <v>3</v>
      </c>
      <c r="E28" s="1374">
        <v>4</v>
      </c>
      <c r="F28" s="1374">
        <v>5</v>
      </c>
      <c r="G28" s="1374">
        <v>6</v>
      </c>
      <c r="H28" s="1374">
        <v>7</v>
      </c>
      <c r="I28" s="1374">
        <v>8</v>
      </c>
    </row>
    <row r="29" spans="2:9" s="1347" customFormat="1" ht="15">
      <c r="B29" s="1372" t="s">
        <v>234</v>
      </c>
      <c r="C29" s="1375" t="s">
        <v>1900</v>
      </c>
      <c r="D29" s="1372" t="s">
        <v>1293</v>
      </c>
      <c r="E29" s="1487"/>
      <c r="F29" s="1487"/>
      <c r="G29" s="1487"/>
      <c r="H29" s="1487"/>
      <c r="I29" s="1487"/>
    </row>
    <row r="30" spans="2:9" s="1347" customFormat="1" ht="15">
      <c r="B30" s="1372" t="s">
        <v>237</v>
      </c>
      <c r="C30" s="1375" t="s">
        <v>1901</v>
      </c>
      <c r="D30" s="1372" t="s">
        <v>268</v>
      </c>
      <c r="E30" s="1488"/>
      <c r="F30" s="1488"/>
      <c r="G30" s="1488"/>
      <c r="H30" s="1488"/>
      <c r="I30" s="1488"/>
    </row>
    <row r="31" spans="2:9" s="1347" customFormat="1" ht="15">
      <c r="B31" s="1372" t="s">
        <v>872</v>
      </c>
      <c r="C31" s="1375" t="s">
        <v>1902</v>
      </c>
      <c r="D31" s="1372"/>
      <c r="E31" s="1487"/>
      <c r="F31" s="1487"/>
      <c r="G31" s="1487"/>
      <c r="H31" s="1487"/>
      <c r="I31" s="1487"/>
    </row>
    <row r="32" spans="2:9" s="1347" customFormat="1" ht="22.5">
      <c r="B32" s="1372" t="s">
        <v>904</v>
      </c>
      <c r="C32" s="1375" t="s">
        <v>1315</v>
      </c>
      <c r="D32" s="1372" t="s">
        <v>268</v>
      </c>
      <c r="E32" s="1488"/>
      <c r="F32" s="1488"/>
      <c r="G32" s="1488"/>
      <c r="H32" s="1488"/>
      <c r="I32" s="1488"/>
    </row>
    <row r="33" spans="2:9" s="1347" customFormat="1" ht="15">
      <c r="B33" s="1372" t="s">
        <v>906</v>
      </c>
      <c r="C33" s="1375" t="s">
        <v>1316</v>
      </c>
      <c r="D33" s="1372"/>
      <c r="E33" s="1487" t="s">
        <v>1404</v>
      </c>
      <c r="F33" s="1487" t="s">
        <v>1404</v>
      </c>
      <c r="G33" s="1487" t="s">
        <v>1404</v>
      </c>
      <c r="H33" s="1487" t="s">
        <v>1404</v>
      </c>
      <c r="I33" s="1487" t="s">
        <v>1404</v>
      </c>
    </row>
    <row r="34" spans="2:9" s="1347" customFormat="1" ht="22.5">
      <c r="B34" s="1372" t="s">
        <v>908</v>
      </c>
      <c r="C34" s="1375" t="s">
        <v>1317</v>
      </c>
      <c r="D34" s="1372" t="s">
        <v>1318</v>
      </c>
      <c r="E34" s="1487" t="s">
        <v>1404</v>
      </c>
      <c r="F34" s="1487" t="s">
        <v>1404</v>
      </c>
      <c r="G34" s="1487" t="s">
        <v>1404</v>
      </c>
      <c r="H34" s="1487" t="s">
        <v>1404</v>
      </c>
      <c r="I34" s="1487" t="s">
        <v>1404</v>
      </c>
    </row>
    <row r="35" spans="2:9" s="1347" customFormat="1" ht="22.5">
      <c r="B35" s="1372" t="s">
        <v>910</v>
      </c>
      <c r="C35" s="1375" t="s">
        <v>1319</v>
      </c>
      <c r="D35" s="1372" t="s">
        <v>1320</v>
      </c>
      <c r="E35" s="1487"/>
      <c r="F35" s="1487"/>
      <c r="G35" s="1487"/>
      <c r="H35" s="1487"/>
      <c r="I35" s="1487"/>
    </row>
    <row r="36" spans="2:9" s="1347" customFormat="1" ht="15">
      <c r="B36" s="1372" t="s">
        <v>912</v>
      </c>
      <c r="C36" s="1375" t="s">
        <v>1321</v>
      </c>
      <c r="D36" s="1372"/>
      <c r="E36" s="1487"/>
      <c r="F36" s="1487"/>
      <c r="G36" s="1487"/>
      <c r="H36" s="1487"/>
      <c r="I36" s="1487"/>
    </row>
    <row r="37" spans="2:9" s="1347" customFormat="1" ht="22.5">
      <c r="B37" s="1372" t="s">
        <v>1322</v>
      </c>
      <c r="C37" s="1375" t="s">
        <v>1323</v>
      </c>
      <c r="D37" s="1372"/>
      <c r="E37" s="1487"/>
      <c r="F37" s="1487"/>
      <c r="G37" s="1487"/>
      <c r="H37" s="1487"/>
      <c r="I37" s="1487"/>
    </row>
  </sheetData>
  <mergeCells count="5">
    <mergeCell ref="B4:D4"/>
    <mergeCell ref="B5:D5"/>
    <mergeCell ref="E4:G4"/>
    <mergeCell ref="E5:G5"/>
    <mergeCell ref="B2:I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3"/>
  <sheetViews>
    <sheetView workbookViewId="0">
      <selection activeCell="I4" sqref="I4:I5"/>
    </sheetView>
  </sheetViews>
  <sheetFormatPr defaultRowHeight="18"/>
  <cols>
    <col min="1" max="1" width="2.7109375" style="1472" customWidth="1"/>
    <col min="2" max="2" width="5.7109375" style="1472" customWidth="1"/>
    <col min="3" max="3" width="50.7109375" style="1472" customWidth="1"/>
    <col min="4" max="4" width="9.85546875" style="1472" customWidth="1"/>
    <col min="5" max="9" width="15.7109375" style="1472" customWidth="1"/>
    <col min="10" max="16384" width="9.140625" style="1472"/>
  </cols>
  <sheetData>
    <row r="1" spans="1:9">
      <c r="A1" s="1471"/>
    </row>
    <row r="2" spans="1:9" ht="20.25">
      <c r="A2" s="1471"/>
      <c r="B2" s="2179" t="s">
        <v>1917</v>
      </c>
      <c r="C2" s="2179"/>
      <c r="D2" s="2179"/>
      <c r="E2" s="2179"/>
      <c r="F2" s="2179"/>
      <c r="G2" s="2179"/>
      <c r="H2" s="2179"/>
      <c r="I2" s="2179"/>
    </row>
    <row r="3" spans="1:9" ht="18.75" thickBot="1">
      <c r="A3" s="1471"/>
    </row>
    <row r="4" spans="1:9">
      <c r="A4" s="1471"/>
      <c r="B4" s="2557" t="s">
        <v>12</v>
      </c>
      <c r="C4" s="2559" t="s">
        <v>261</v>
      </c>
      <c r="D4" s="2561" t="s">
        <v>262</v>
      </c>
      <c r="E4" s="2563" t="str">
        <f>CONCATENATE('0. Анкета'!$C$13," год")</f>
        <v>2019 год</v>
      </c>
      <c r="F4" s="2553" t="str">
        <f>CONCATENATE('0. Анкета'!$C$13+1," год")</f>
        <v>2020 год</v>
      </c>
      <c r="G4" s="2553" t="str">
        <f>CONCATENATE('0. Анкета'!$C$13+2," год")</f>
        <v>2021 год</v>
      </c>
      <c r="H4" s="2553" t="str">
        <f>CONCATENATE('0. Анкета'!$C$13+3," год")</f>
        <v>2022 год</v>
      </c>
      <c r="I4" s="2555" t="str">
        <f>CONCATENATE('0. Анкета'!$C$13+4," год")</f>
        <v>2023 год</v>
      </c>
    </row>
    <row r="5" spans="1:9" ht="18.75" thickBot="1">
      <c r="A5" s="1471"/>
      <c r="B5" s="2558"/>
      <c r="C5" s="2560"/>
      <c r="D5" s="2562"/>
      <c r="E5" s="2564"/>
      <c r="F5" s="2554"/>
      <c r="G5" s="2554"/>
      <c r="H5" s="2554"/>
      <c r="I5" s="2556"/>
    </row>
    <row r="6" spans="1:9" ht="18.75" thickBot="1">
      <c r="B6" s="2550" t="s">
        <v>1330</v>
      </c>
      <c r="C6" s="2551"/>
      <c r="D6" s="2551"/>
      <c r="E6" s="2551"/>
      <c r="F6" s="2551"/>
      <c r="G6" s="2551"/>
      <c r="H6" s="2551"/>
      <c r="I6" s="2552"/>
    </row>
    <row r="7" spans="1:9">
      <c r="B7" s="1605" t="s">
        <v>234</v>
      </c>
      <c r="C7" s="1606" t="s">
        <v>1914</v>
      </c>
      <c r="D7" s="1607" t="s">
        <v>268</v>
      </c>
      <c r="E7" s="1608">
        <v>0</v>
      </c>
      <c r="F7" s="1609">
        <v>0</v>
      </c>
      <c r="G7" s="1609">
        <v>0</v>
      </c>
      <c r="H7" s="1609">
        <v>0</v>
      </c>
      <c r="I7" s="1610">
        <v>0</v>
      </c>
    </row>
    <row r="8" spans="1:9" ht="18.75" thickBot="1">
      <c r="B8" s="1525" t="s">
        <v>239</v>
      </c>
      <c r="C8" s="1601" t="s">
        <v>1915</v>
      </c>
      <c r="D8" s="1589" t="s">
        <v>268</v>
      </c>
      <c r="E8" s="1603">
        <v>0</v>
      </c>
      <c r="F8" s="1590">
        <v>0</v>
      </c>
      <c r="G8" s="1590">
        <v>0</v>
      </c>
      <c r="H8" s="1590">
        <v>0</v>
      </c>
      <c r="I8" s="1596">
        <v>0</v>
      </c>
    </row>
    <row r="9" spans="1:9" ht="18.75" thickBot="1">
      <c r="B9" s="2550" t="s">
        <v>1290</v>
      </c>
      <c r="C9" s="2551"/>
      <c r="D9" s="2551"/>
      <c r="E9" s="2551"/>
      <c r="F9" s="2551"/>
      <c r="G9" s="2551"/>
      <c r="H9" s="2551"/>
      <c r="I9" s="2552"/>
    </row>
    <row r="10" spans="1:9">
      <c r="B10" s="1605" t="s">
        <v>234</v>
      </c>
      <c r="C10" s="1606" t="s">
        <v>1914</v>
      </c>
      <c r="D10" s="1607" t="s">
        <v>268</v>
      </c>
      <c r="E10" s="1608">
        <v>0</v>
      </c>
      <c r="F10" s="1609">
        <v>0</v>
      </c>
      <c r="G10" s="1609">
        <v>0</v>
      </c>
      <c r="H10" s="1609">
        <v>0</v>
      </c>
      <c r="I10" s="1761">
        <v>0</v>
      </c>
    </row>
    <row r="11" spans="1:9" ht="192">
      <c r="B11" s="1525" t="s">
        <v>237</v>
      </c>
      <c r="C11" s="1601" t="s">
        <v>1916</v>
      </c>
      <c r="D11" s="1589" t="s">
        <v>103</v>
      </c>
      <c r="E11" s="1762" t="s">
        <v>2045</v>
      </c>
      <c r="F11" s="1591" t="s">
        <v>2045</v>
      </c>
      <c r="G11" s="1591" t="s">
        <v>2045</v>
      </c>
      <c r="H11" s="1591" t="s">
        <v>2045</v>
      </c>
      <c r="I11" s="1597" t="s">
        <v>2045</v>
      </c>
    </row>
    <row r="12" spans="1:9">
      <c r="B12" s="1525" t="s">
        <v>239</v>
      </c>
      <c r="C12" s="1601" t="s">
        <v>1915</v>
      </c>
      <c r="D12" s="1589" t="s">
        <v>268</v>
      </c>
      <c r="E12" s="1608">
        <v>0</v>
      </c>
      <c r="F12" s="1609">
        <v>0</v>
      </c>
      <c r="G12" s="1609">
        <v>0</v>
      </c>
      <c r="H12" s="1609">
        <v>0</v>
      </c>
      <c r="I12" s="1610">
        <v>0</v>
      </c>
    </row>
    <row r="13" spans="1:9" ht="192.75" thickBot="1">
      <c r="B13" s="1598" t="s">
        <v>242</v>
      </c>
      <c r="C13" s="1602" t="s">
        <v>1918</v>
      </c>
      <c r="D13" s="1604" t="s">
        <v>103</v>
      </c>
      <c r="E13" s="1599" t="s">
        <v>2045</v>
      </c>
      <c r="F13" s="1599" t="s">
        <v>2045</v>
      </c>
      <c r="G13" s="1599" t="s">
        <v>2045</v>
      </c>
      <c r="H13" s="1599" t="s">
        <v>2045</v>
      </c>
      <c r="I13" s="1600" t="s">
        <v>2045</v>
      </c>
    </row>
  </sheetData>
  <mergeCells count="11">
    <mergeCell ref="B2:I2"/>
    <mergeCell ref="B4:B5"/>
    <mergeCell ref="C4:C5"/>
    <mergeCell ref="D4:D5"/>
    <mergeCell ref="E4:E5"/>
    <mergeCell ref="B6:I6"/>
    <mergeCell ref="B9:I9"/>
    <mergeCell ref="F4:F5"/>
    <mergeCell ref="G4:G5"/>
    <mergeCell ref="H4:H5"/>
    <mergeCell ref="I4:I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63"/>
  <sheetViews>
    <sheetView workbookViewId="0">
      <pane xSplit="4" ySplit="8" topLeftCell="E51" activePane="bottomRight" state="frozen"/>
      <selection activeCell="F41" sqref="F41"/>
      <selection pane="topRight" activeCell="F41" sqref="F41"/>
      <selection pane="bottomLeft" activeCell="F41" sqref="F41"/>
      <selection pane="bottomRight" activeCell="I14" sqref="I14"/>
    </sheetView>
  </sheetViews>
  <sheetFormatPr defaultColWidth="9.140625" defaultRowHeight="15"/>
  <cols>
    <col min="1" max="1" width="2.7109375" style="1490" customWidth="1"/>
    <col min="2" max="2" width="5.7109375" style="1490" customWidth="1"/>
    <col min="3" max="3" width="50.7109375" style="1490" customWidth="1"/>
    <col min="4" max="4" width="11.7109375" style="1490" customWidth="1"/>
    <col min="5" max="24" width="15.7109375" style="1490" customWidth="1"/>
    <col min="25" max="25" width="2.7109375" style="1490" customWidth="1"/>
    <col min="26" max="16384" width="9.140625" style="1490"/>
  </cols>
  <sheetData>
    <row r="1" spans="1:25">
      <c r="A1" s="1489"/>
    </row>
    <row r="2" spans="1:25">
      <c r="A2" s="1489"/>
    </row>
    <row r="3" spans="1:25" ht="15.75">
      <c r="A3" s="1489"/>
      <c r="G3" s="1491"/>
      <c r="J3" s="1491"/>
      <c r="M3" s="1491"/>
      <c r="N3" s="1491"/>
    </row>
    <row r="4" spans="1:25" ht="20.25">
      <c r="A4" s="1489"/>
      <c r="E4" s="2188" t="str">
        <f>CONCATENATE("Покупная электрическая энергия на компенсацию потерь (Затраты на оплату потерь) (в границах балансовой принадлежности сетей ",'0. Анкета'!C7,")")</f>
        <v>Покупная электрическая энергия на компенсацию потерь (Затраты на оплату потерь) (в границах балансовой принадлежности сетей )</v>
      </c>
      <c r="F4" s="2188"/>
      <c r="G4" s="2188"/>
      <c r="H4" s="2188"/>
      <c r="I4" s="2188"/>
      <c r="J4" s="2188"/>
      <c r="K4" s="2188"/>
      <c r="L4" s="2188"/>
      <c r="M4" s="2188"/>
      <c r="N4" s="2188"/>
      <c r="O4" s="2188"/>
      <c r="P4" s="2188"/>
      <c r="Q4" s="2188"/>
      <c r="R4" s="2188"/>
      <c r="S4" s="2188"/>
      <c r="T4" s="2188"/>
      <c r="U4" s="2188"/>
      <c r="V4" s="2188"/>
      <c r="W4" s="2188"/>
      <c r="X4" s="2188"/>
    </row>
    <row r="5" spans="1:25" ht="18.75" thickBot="1">
      <c r="B5" s="1492">
        <f>'0. Анкета'!C7</f>
        <v>0</v>
      </c>
      <c r="E5" s="2565" t="s">
        <v>1913</v>
      </c>
      <c r="F5" s="2565"/>
      <c r="G5" s="2565"/>
      <c r="H5" s="1493"/>
      <c r="I5" s="1491"/>
      <c r="J5" s="1491"/>
      <c r="K5" s="2565" t="s">
        <v>1913</v>
      </c>
      <c r="L5" s="2565"/>
      <c r="M5" s="2565"/>
      <c r="N5" s="1491"/>
    </row>
    <row r="6" spans="1:25" ht="32.25" customHeight="1">
      <c r="B6" s="2557" t="s">
        <v>12</v>
      </c>
      <c r="C6" s="2578" t="s">
        <v>261</v>
      </c>
      <c r="D6" s="2180" t="s">
        <v>262</v>
      </c>
      <c r="E6" s="2588" t="str">
        <f>'0. Анкета'!$C$15-3&amp;" год"</f>
        <v>2021 год</v>
      </c>
      <c r="F6" s="2589"/>
      <c r="G6" s="2590"/>
      <c r="H6" s="2585" t="str">
        <f>'0. Анкета'!$C$15-2&amp;" год"</f>
        <v>2022 год</v>
      </c>
      <c r="I6" s="2586"/>
      <c r="J6" s="2586"/>
      <c r="K6" s="2586"/>
      <c r="L6" s="2586"/>
      <c r="M6" s="2587"/>
      <c r="N6" s="2581" t="s">
        <v>1382</v>
      </c>
      <c r="O6" s="2576" t="str">
        <f>'0. Анкета'!$C$15-1&amp;" год"</f>
        <v>2023 год</v>
      </c>
      <c r="P6" s="2577"/>
      <c r="Q6" s="2578"/>
      <c r="R6" s="2579" t="str">
        <f>'0. Анкета'!$C$15&amp;" год"</f>
        <v>2024 год</v>
      </c>
      <c r="S6" s="2580"/>
      <c r="T6" s="2580"/>
      <c r="U6" s="2580"/>
      <c r="V6" s="2580"/>
      <c r="W6" s="2580"/>
      <c r="X6" s="2566" t="s">
        <v>1382</v>
      </c>
      <c r="Y6" s="1489"/>
    </row>
    <row r="7" spans="1:25" ht="32.25" customHeight="1">
      <c r="B7" s="2591"/>
      <c r="C7" s="2190"/>
      <c r="D7" s="2181"/>
      <c r="E7" s="2572" t="s">
        <v>1287</v>
      </c>
      <c r="F7" s="2573"/>
      <c r="G7" s="2574"/>
      <c r="H7" s="2572" t="s">
        <v>1381</v>
      </c>
      <c r="I7" s="2573"/>
      <c r="J7" s="2574"/>
      <c r="K7" s="2572" t="s">
        <v>1287</v>
      </c>
      <c r="L7" s="2573"/>
      <c r="M7" s="2574"/>
      <c r="N7" s="2582"/>
      <c r="O7" s="2569" t="s">
        <v>1751</v>
      </c>
      <c r="P7" s="2570"/>
      <c r="Q7" s="2575"/>
      <c r="R7" s="2569" t="s">
        <v>1330</v>
      </c>
      <c r="S7" s="2570"/>
      <c r="T7" s="2575"/>
      <c r="U7" s="2569" t="s">
        <v>1290</v>
      </c>
      <c r="V7" s="2570"/>
      <c r="W7" s="2571"/>
      <c r="X7" s="2567"/>
    </row>
    <row r="8" spans="1:25" ht="32.25" customHeight="1" thickBot="1">
      <c r="B8" s="2558"/>
      <c r="C8" s="2592"/>
      <c r="D8" s="2195"/>
      <c r="E8" s="1497" t="s">
        <v>232</v>
      </c>
      <c r="F8" s="1498" t="s">
        <v>233</v>
      </c>
      <c r="G8" s="1499" t="s">
        <v>1532</v>
      </c>
      <c r="H8" s="1497" t="s">
        <v>232</v>
      </c>
      <c r="I8" s="1498" t="s">
        <v>233</v>
      </c>
      <c r="J8" s="1499" t="s">
        <v>1532</v>
      </c>
      <c r="K8" s="1497" t="s">
        <v>232</v>
      </c>
      <c r="L8" s="1498" t="s">
        <v>233</v>
      </c>
      <c r="M8" s="1499" t="s">
        <v>1532</v>
      </c>
      <c r="N8" s="2583"/>
      <c r="O8" s="1495" t="s">
        <v>232</v>
      </c>
      <c r="P8" s="1496" t="s">
        <v>233</v>
      </c>
      <c r="Q8" s="1936" t="s">
        <v>1532</v>
      </c>
      <c r="R8" s="1495" t="s">
        <v>232</v>
      </c>
      <c r="S8" s="1496" t="s">
        <v>233</v>
      </c>
      <c r="T8" s="1936" t="s">
        <v>1532</v>
      </c>
      <c r="U8" s="1495" t="s">
        <v>232</v>
      </c>
      <c r="V8" s="1496" t="s">
        <v>233</v>
      </c>
      <c r="W8" s="1934" t="s">
        <v>1532</v>
      </c>
      <c r="X8" s="2568"/>
    </row>
    <row r="9" spans="1:25" s="1500" customFormat="1" ht="30">
      <c r="B9" s="1501" t="s">
        <v>267</v>
      </c>
      <c r="C9" s="1502" t="s">
        <v>1389</v>
      </c>
      <c r="D9" s="1503" t="s">
        <v>249</v>
      </c>
      <c r="E9" s="1505"/>
      <c r="F9" s="1506"/>
      <c r="G9" s="1504">
        <f>SUM(E9:F9)</f>
        <v>0</v>
      </c>
      <c r="H9" s="1505"/>
      <c r="I9" s="1506"/>
      <c r="J9" s="1504">
        <f>SUM(H9:I9)</f>
        <v>0</v>
      </c>
      <c r="K9" s="1505"/>
      <c r="L9" s="1506"/>
      <c r="M9" s="1504">
        <f>SUM(K9:L9)</f>
        <v>0</v>
      </c>
      <c r="N9" s="1559"/>
      <c r="O9" s="1505"/>
      <c r="P9" s="1506"/>
      <c r="Q9" s="1504">
        <f>SUM(O9:P9)</f>
        <v>0</v>
      </c>
      <c r="R9" s="1505"/>
      <c r="S9" s="1506"/>
      <c r="T9" s="1504">
        <f>SUM(R9:S9)</f>
        <v>0</v>
      </c>
      <c r="U9" s="1505"/>
      <c r="V9" s="1506"/>
      <c r="W9" s="1567">
        <f>SUM(U9:V9)</f>
        <v>0</v>
      </c>
      <c r="X9" s="1574"/>
    </row>
    <row r="10" spans="1:25" s="1507" customFormat="1" ht="30">
      <c r="B10" s="2594" t="s">
        <v>269</v>
      </c>
      <c r="C10" s="2596" t="s">
        <v>1780</v>
      </c>
      <c r="D10" s="1508" t="s">
        <v>249</v>
      </c>
      <c r="E10" s="1510">
        <f>SUM(E22,E30,E38,E46,E54)</f>
        <v>0</v>
      </c>
      <c r="F10" s="1511">
        <f>SUM(F22,F30,F38,F46,F54)</f>
        <v>0</v>
      </c>
      <c r="G10" s="1509">
        <f>SUM(E10:F10)</f>
        <v>0</v>
      </c>
      <c r="H10" s="1510">
        <f>SUM(H22,H30,H38,H46,H54)</f>
        <v>0</v>
      </c>
      <c r="I10" s="1511">
        <f>SUM(I22,I30,I38,I46,I54)</f>
        <v>0</v>
      </c>
      <c r="J10" s="1509">
        <f>SUM(H10:I10)</f>
        <v>0</v>
      </c>
      <c r="K10" s="1510">
        <f>SUM(K22,K30,K38,K46,K54)</f>
        <v>0</v>
      </c>
      <c r="L10" s="1511">
        <f>SUM(L22,L30,L38,L46,L54)</f>
        <v>0</v>
      </c>
      <c r="M10" s="1509">
        <f>SUM(K10:L10)</f>
        <v>0</v>
      </c>
      <c r="N10" s="1560"/>
      <c r="O10" s="1510">
        <f>SUM(O22,O30,O38,O46,O54)</f>
        <v>0</v>
      </c>
      <c r="P10" s="1511">
        <f>SUM(P22,P30,P38,P46,P54)</f>
        <v>0</v>
      </c>
      <c r="Q10" s="1509">
        <f>SUM(O10:P10)</f>
        <v>0</v>
      </c>
      <c r="R10" s="1510">
        <f>SUM(R22,R30,R38,R46,R54)</f>
        <v>0</v>
      </c>
      <c r="S10" s="1511">
        <f>SUM(S22,S30,S38,S46,S54)</f>
        <v>0</v>
      </c>
      <c r="T10" s="1509">
        <f>SUM(R10:S10)</f>
        <v>0</v>
      </c>
      <c r="U10" s="1510">
        <f>SUM(U22,U30,U38,U46,U54)</f>
        <v>0</v>
      </c>
      <c r="V10" s="1511">
        <f>SUM(V22,V30,V38,V46,V54)</f>
        <v>0</v>
      </c>
      <c r="W10" s="1568">
        <f>SUM(U10:V10)</f>
        <v>0</v>
      </c>
      <c r="X10" s="1575"/>
    </row>
    <row r="11" spans="1:25" s="1500" customFormat="1">
      <c r="B11" s="2595"/>
      <c r="C11" s="2597"/>
      <c r="D11" s="1514" t="s">
        <v>268</v>
      </c>
      <c r="E11" s="1942" t="str">
        <f t="shared" ref="E11:M11" si="0">IFERROR(E10/E9,"х")</f>
        <v>х</v>
      </c>
      <c r="F11" s="1941" t="str">
        <f t="shared" si="0"/>
        <v>х</v>
      </c>
      <c r="G11" s="1943" t="str">
        <f t="shared" si="0"/>
        <v>х</v>
      </c>
      <c r="H11" s="1942" t="str">
        <f t="shared" si="0"/>
        <v>х</v>
      </c>
      <c r="I11" s="1941" t="str">
        <f t="shared" si="0"/>
        <v>х</v>
      </c>
      <c r="J11" s="1943" t="str">
        <f t="shared" si="0"/>
        <v>х</v>
      </c>
      <c r="K11" s="1942" t="str">
        <f t="shared" si="0"/>
        <v>х</v>
      </c>
      <c r="L11" s="1941" t="str">
        <f t="shared" si="0"/>
        <v>х</v>
      </c>
      <c r="M11" s="1943" t="str">
        <f t="shared" si="0"/>
        <v>х</v>
      </c>
      <c r="N11" s="1944"/>
      <c r="O11" s="1942" t="str">
        <f t="shared" ref="O11:W11" si="1">IFERROR(O10/O9,"х")</f>
        <v>х</v>
      </c>
      <c r="P11" s="1941" t="str">
        <f t="shared" si="1"/>
        <v>х</v>
      </c>
      <c r="Q11" s="1943" t="str">
        <f t="shared" si="1"/>
        <v>х</v>
      </c>
      <c r="R11" s="1942" t="str">
        <f t="shared" si="1"/>
        <v>х</v>
      </c>
      <c r="S11" s="1941" t="str">
        <f t="shared" si="1"/>
        <v>х</v>
      </c>
      <c r="T11" s="1943" t="str">
        <f t="shared" si="1"/>
        <v>х</v>
      </c>
      <c r="U11" s="1942" t="str">
        <f t="shared" si="1"/>
        <v>х</v>
      </c>
      <c r="V11" s="1941" t="str">
        <f t="shared" si="1"/>
        <v>х</v>
      </c>
      <c r="W11" s="1940" t="str">
        <f t="shared" si="1"/>
        <v>х</v>
      </c>
      <c r="X11" s="1939"/>
    </row>
    <row r="12" spans="1:25" s="1500" customFormat="1" ht="30">
      <c r="B12" s="1510" t="s">
        <v>270</v>
      </c>
      <c r="C12" s="1515" t="s">
        <v>1906</v>
      </c>
      <c r="D12" s="1516" t="s">
        <v>249</v>
      </c>
      <c r="E12" s="1517">
        <f>E9-E10</f>
        <v>0</v>
      </c>
      <c r="F12" s="1511">
        <f>F9-F10</f>
        <v>0</v>
      </c>
      <c r="G12" s="1518">
        <f>SUM(E12:F12)</f>
        <v>0</v>
      </c>
      <c r="H12" s="1517">
        <f>H9-H10</f>
        <v>0</v>
      </c>
      <c r="I12" s="1511">
        <f>I9-I10</f>
        <v>0</v>
      </c>
      <c r="J12" s="1518">
        <f>SUM(H12:I12)</f>
        <v>0</v>
      </c>
      <c r="K12" s="1517">
        <f>K9-K10</f>
        <v>0</v>
      </c>
      <c r="L12" s="1511">
        <f>L9-L10</f>
        <v>0</v>
      </c>
      <c r="M12" s="1518">
        <f>SUM(K12:L12)</f>
        <v>0</v>
      </c>
      <c r="N12" s="1561"/>
      <c r="O12" s="1517">
        <f>O9-O10</f>
        <v>0</v>
      </c>
      <c r="P12" s="1511">
        <f>P9-P10</f>
        <v>0</v>
      </c>
      <c r="Q12" s="1518">
        <f>SUM(O12:P12)</f>
        <v>0</v>
      </c>
      <c r="R12" s="1517">
        <f>R9-R10</f>
        <v>0</v>
      </c>
      <c r="S12" s="1511">
        <f>S9-S10</f>
        <v>0</v>
      </c>
      <c r="T12" s="1518">
        <f>SUM(R12:S12)</f>
        <v>0</v>
      </c>
      <c r="U12" s="1517">
        <f>U9-U10</f>
        <v>0</v>
      </c>
      <c r="V12" s="1511">
        <f>V9-V10</f>
        <v>0</v>
      </c>
      <c r="W12" s="1569">
        <f>SUM(U12:V12)</f>
        <v>0</v>
      </c>
      <c r="X12" s="1576"/>
    </row>
    <row r="13" spans="1:25" s="1519" customFormat="1" ht="31.5">
      <c r="B13" s="1520" t="s">
        <v>237</v>
      </c>
      <c r="C13" s="1521" t="s">
        <v>1782</v>
      </c>
      <c r="D13" s="1522" t="s">
        <v>285</v>
      </c>
      <c r="E13" s="1520">
        <f>SUM(E14:E16)</f>
        <v>0</v>
      </c>
      <c r="F13" s="1523">
        <f>SUM(F14:F16)</f>
        <v>0</v>
      </c>
      <c r="G13" s="1524">
        <f>IFERROR(G17/G10,0)</f>
        <v>0</v>
      </c>
      <c r="H13" s="1520">
        <f>SUM(H14:H16)</f>
        <v>0</v>
      </c>
      <c r="I13" s="1523">
        <f>SUM(I14:I16)</f>
        <v>0</v>
      </c>
      <c r="J13" s="1524">
        <f>IFERROR(J17/J10,0)</f>
        <v>0</v>
      </c>
      <c r="K13" s="1520">
        <f>SUM(K14:K16)</f>
        <v>0</v>
      </c>
      <c r="L13" s="1523">
        <f>SUM(L14:L16)</f>
        <v>0</v>
      </c>
      <c r="M13" s="1524">
        <f>IFERROR(M17/M10,0)</f>
        <v>0</v>
      </c>
      <c r="N13" s="1562"/>
      <c r="O13" s="1520">
        <f>SUM(O14:O16)</f>
        <v>0</v>
      </c>
      <c r="P13" s="1523">
        <f>SUM(P14:P16)</f>
        <v>0</v>
      </c>
      <c r="Q13" s="1524">
        <f>IFERROR(Q17/Q10,0)</f>
        <v>0</v>
      </c>
      <c r="R13" s="1520">
        <f>SUM(R14:R16)</f>
        <v>0</v>
      </c>
      <c r="S13" s="1523">
        <f>SUM(S14:S16)</f>
        <v>0</v>
      </c>
      <c r="T13" s="1524">
        <f>IFERROR(T17/T10,0)</f>
        <v>0</v>
      </c>
      <c r="U13" s="1520">
        <f>SUM(U14:U16)</f>
        <v>0</v>
      </c>
      <c r="V13" s="1523">
        <f>SUM(V14:V16)</f>
        <v>0</v>
      </c>
      <c r="W13" s="1570">
        <f>IFERROR(W17/W10,0)</f>
        <v>0</v>
      </c>
      <c r="X13" s="1577"/>
    </row>
    <row r="14" spans="1:25" ht="30">
      <c r="B14" s="1525" t="s">
        <v>520</v>
      </c>
      <c r="C14" s="1526" t="s">
        <v>1907</v>
      </c>
      <c r="D14" s="1527" t="s">
        <v>285</v>
      </c>
      <c r="E14" s="1525">
        <f>IFERROR((E22*E24+E30*E32+E38*E40+E46*E48+E54*E56)/E10,0)</f>
        <v>0</v>
      </c>
      <c r="F14" s="1529">
        <f>IFERROR((F22*F24+F30*F32+F38*F40+F46*F48+F54*F56)/F10,0)</f>
        <v>0</v>
      </c>
      <c r="G14" s="1528">
        <f>IFERROR((E14*E10+F14*F10)/G10,0)</f>
        <v>0</v>
      </c>
      <c r="H14" s="1525">
        <f>IFERROR((H22*H24+H30*H32+H38*H40+H46*H48+H54*H56)/H10,0)</f>
        <v>0</v>
      </c>
      <c r="I14" s="1529">
        <f>IFERROR((I22*I24+I30*I32+I38*I40+I46*I48+I54*I56)/I10,0)</f>
        <v>0</v>
      </c>
      <c r="J14" s="1528">
        <f>IFERROR((H14*H10+I14*I10)/J10,0)</f>
        <v>0</v>
      </c>
      <c r="K14" s="1525">
        <f>IFERROR((K22*K24+K30*K32+K38*K40+K46*K48+K54*K56)/K10,0)</f>
        <v>0</v>
      </c>
      <c r="L14" s="1529">
        <f>IFERROR((L22*L24+L30*L32+L38*L40+L46*L48+L54*L56)/L10,0)</f>
        <v>0</v>
      </c>
      <c r="M14" s="1528">
        <f>IFERROR((K14*K10+L14*L10)/M10,0)</f>
        <v>0</v>
      </c>
      <c r="N14" s="1563"/>
      <c r="O14" s="1525">
        <f>IFERROR((O22*O24+O30*O32+O38*O40+O46*O48+O54*O56)/O10,0)</f>
        <v>0</v>
      </c>
      <c r="P14" s="1529">
        <f>IFERROR((P22*P24+P30*P32+P38*P40+P46*P48+P54*P56)/P10,0)</f>
        <v>0</v>
      </c>
      <c r="Q14" s="1528">
        <f>IFERROR((O14*O10+P14*P10)/Q10,0)</f>
        <v>0</v>
      </c>
      <c r="R14" s="1525">
        <f>IFERROR((R22*R24+R30*R32+R38*R40+R46*R48+R54*R56)/R10,0)</f>
        <v>0</v>
      </c>
      <c r="S14" s="1529">
        <f>IFERROR((S22*S24+S30*S32+S38*S40+S46*S48+S54*S56)/S10,0)</f>
        <v>0</v>
      </c>
      <c r="T14" s="1528">
        <f>IFERROR((R14*R10+S14*S10)/T10,0)</f>
        <v>0</v>
      </c>
      <c r="U14" s="1525">
        <f>IFERROR((U22*U24+U30*U32+U38*U40+U46*U48+U54*U56)/U10,0)</f>
        <v>0</v>
      </c>
      <c r="V14" s="1529">
        <f>IFERROR((V22*V24+V30*V32+V38*V40+V46*V48+V54*V56)/V10,0)</f>
        <v>0</v>
      </c>
      <c r="W14" s="1571">
        <f>IFERROR((U14*U10+V14*V10)/W10,0)</f>
        <v>0</v>
      </c>
      <c r="X14" s="1578"/>
    </row>
    <row r="15" spans="1:25" ht="30">
      <c r="B15" s="1525" t="s">
        <v>527</v>
      </c>
      <c r="C15" s="1526" t="s">
        <v>1908</v>
      </c>
      <c r="D15" s="1527" t="s">
        <v>285</v>
      </c>
      <c r="E15" s="1525">
        <f>IFERROR((E22*E25+E30*E33+E38*E41+E46*E49+E54*E57)/E10,0)</f>
        <v>0</v>
      </c>
      <c r="F15" s="1529">
        <f>IFERROR((F22*F25+F30*F33+F38*F41+F46*F49+F54*F57)/F10,0)</f>
        <v>0</v>
      </c>
      <c r="G15" s="1528">
        <f>IFERROR((E15*E10+F15*F10)/G10,0)</f>
        <v>0</v>
      </c>
      <c r="H15" s="1525">
        <f>IFERROR((H22*H25+H30*H33+H38*H41+H46*H49+H54*H57)/H10,0)</f>
        <v>0</v>
      </c>
      <c r="I15" s="1529">
        <f>IFERROR((I22*I25+I30*I33+I38*I41+I46*I49+I54*I57)/I10,0)</f>
        <v>0</v>
      </c>
      <c r="J15" s="1528">
        <f>IFERROR((H15*H10+I15*I10)/J10,0)</f>
        <v>0</v>
      </c>
      <c r="K15" s="1525">
        <f>IFERROR((K22*K25+K30*K33+K38*K41+K46*K49+K54*K57)/K10,0)</f>
        <v>0</v>
      </c>
      <c r="L15" s="1529">
        <f>IFERROR((L22*L25+L30*L33+L38*L41+L46*L49+L54*L57)/L10,0)</f>
        <v>0</v>
      </c>
      <c r="M15" s="1528">
        <f>IFERROR((K15*K10+L15*L10)/M10,0)</f>
        <v>0</v>
      </c>
      <c r="N15" s="1563"/>
      <c r="O15" s="1525">
        <f>IFERROR((O22*O25+O30*O33+O38*O41+O46*O49+O54*O57)/O10,0)</f>
        <v>0</v>
      </c>
      <c r="P15" s="1529">
        <f>IFERROR((P22*P25+P30*P33+P38*P41+P46*P49+P54*P57)/P10,0)</f>
        <v>0</v>
      </c>
      <c r="Q15" s="1528">
        <f>IFERROR((O15*O10+P15*P10)/Q10,0)</f>
        <v>0</v>
      </c>
      <c r="R15" s="1525">
        <f>IFERROR((R22*R25+R30*R33+R38*R41+R46*R49+R54*R57)/R10,0)</f>
        <v>0</v>
      </c>
      <c r="S15" s="1529">
        <f>IFERROR((S22*S25+S30*S33+S38*S41+S46*S49+S54*S57)/S10,0)</f>
        <v>0</v>
      </c>
      <c r="T15" s="1528">
        <f>IFERROR((R15*R10+S15*S10)/T10,0)</f>
        <v>0</v>
      </c>
      <c r="U15" s="1525">
        <f>IFERROR((U22*U25+U30*U33+U38*U41+U46*U49+U54*U57)/U10,0)</f>
        <v>0</v>
      </c>
      <c r="V15" s="1529">
        <f>IFERROR((V22*V25+V30*V33+V38*V41+V46*V49+V54*V57)/V10,0)</f>
        <v>0</v>
      </c>
      <c r="W15" s="1571">
        <f>IFERROR((U15*U10+V15*V10)/W10,0)</f>
        <v>0</v>
      </c>
      <c r="X15" s="1578"/>
    </row>
    <row r="16" spans="1:25" ht="15.75" thickBot="1">
      <c r="B16" s="1532" t="s">
        <v>533</v>
      </c>
      <c r="C16" s="1533" t="s">
        <v>1909</v>
      </c>
      <c r="D16" s="1534" t="s">
        <v>285</v>
      </c>
      <c r="E16" s="1532">
        <f>IFERROR((E22*E26+E30*E34+E38*E42+E46*E50+E54*E58)/E10,0)</f>
        <v>0</v>
      </c>
      <c r="F16" s="1536">
        <f>IFERROR((F22*F26+F30*F34+F38*F42+F46*F50+F54*F58)/F10,0)</f>
        <v>0</v>
      </c>
      <c r="G16" s="1535">
        <f>IFERROR((E16*E10+F16*F10)/G10,0)</f>
        <v>0</v>
      </c>
      <c r="H16" s="1532">
        <f>IFERROR((H22*H26+H30*H34+H38*H42+H46*H50+H54*H58)/H10,0)</f>
        <v>0</v>
      </c>
      <c r="I16" s="1536">
        <f>IFERROR((I22*I26+I30*I34+I38*I42+I46*I50+I54*I58)/I10,0)</f>
        <v>0</v>
      </c>
      <c r="J16" s="1535">
        <f>IFERROR((H16*H10+I16*I10)/J10,0)</f>
        <v>0</v>
      </c>
      <c r="K16" s="1532">
        <f>IFERROR((K22*K26+K30*K34+K38*K42+K46*K50+K54*K58)/K10,0)</f>
        <v>0</v>
      </c>
      <c r="L16" s="1536">
        <f>IFERROR((L22*L26+L30*L34+L38*L42+L46*L50+L54*L58)/L10,0)</f>
        <v>0</v>
      </c>
      <c r="M16" s="1535">
        <f>IFERROR((K16*K10+L16*L10)/M10,0)</f>
        <v>0</v>
      </c>
      <c r="N16" s="1564"/>
      <c r="O16" s="1532">
        <f>IFERROR((O22*O26+O30*O34+O38*O42+O46*O50+O54*O58)/O10,0)</f>
        <v>0</v>
      </c>
      <c r="P16" s="1536">
        <f>IFERROR((P22*P26+P30*P34+P38*P42+P46*P50+P54*P58)/P10,0)</f>
        <v>0</v>
      </c>
      <c r="Q16" s="1535">
        <f>IFERROR((O16*O10+P16*P10)/Q10,0)</f>
        <v>0</v>
      </c>
      <c r="R16" s="1532">
        <f>IFERROR((R22*R26+R30*R34+R38*R42+R46*R50+R54*R58)/R10,0)</f>
        <v>0</v>
      </c>
      <c r="S16" s="1536">
        <f>IFERROR((S22*S26+S30*S34+S38*S42+S46*S50+S54*S58)/S10,0)</f>
        <v>0</v>
      </c>
      <c r="T16" s="1535">
        <f>IFERROR((R16*R10+S16*S10)/T10,0)</f>
        <v>0</v>
      </c>
      <c r="U16" s="1532">
        <f>IFERROR((U22*U26+U30*U34+U38*U42+U46*U50+U54*U58)/U10,0)</f>
        <v>0</v>
      </c>
      <c r="V16" s="1536">
        <f>IFERROR((V22*V26+V30*V34+V38*V42+V46*V50+V54*V58)/V10,0)</f>
        <v>0</v>
      </c>
      <c r="W16" s="1572">
        <f>IFERROR((U16*U10+V16*V10)/W10,0)</f>
        <v>0</v>
      </c>
      <c r="X16" s="1579"/>
    </row>
    <row r="17" spans="2:25" s="1519" customFormat="1" ht="32.25" thickBot="1">
      <c r="B17" s="1539" t="s">
        <v>239</v>
      </c>
      <c r="C17" s="1540" t="s">
        <v>1783</v>
      </c>
      <c r="D17" s="1541" t="s">
        <v>600</v>
      </c>
      <c r="E17" s="1542">
        <f>E13*E10</f>
        <v>0</v>
      </c>
      <c r="F17" s="1543">
        <f>F13*F10</f>
        <v>0</v>
      </c>
      <c r="G17" s="1544">
        <f>SUM(E17:F17)</f>
        <v>0</v>
      </c>
      <c r="H17" s="1542">
        <f>H13*H10</f>
        <v>0</v>
      </c>
      <c r="I17" s="1543">
        <f>I13*I10</f>
        <v>0</v>
      </c>
      <c r="J17" s="1544">
        <f>SUM(H17:I17)</f>
        <v>0</v>
      </c>
      <c r="K17" s="1542">
        <f>K13*K10</f>
        <v>0</v>
      </c>
      <c r="L17" s="1543">
        <f>L13*L10</f>
        <v>0</v>
      </c>
      <c r="M17" s="1544">
        <f>SUM(K17:L17)</f>
        <v>0</v>
      </c>
      <c r="N17" s="1565"/>
      <c r="O17" s="1542">
        <f>O13*O10</f>
        <v>0</v>
      </c>
      <c r="P17" s="1543">
        <f>P13*P10</f>
        <v>0</v>
      </c>
      <c r="Q17" s="1544">
        <f>SUM(O17:P17)</f>
        <v>0</v>
      </c>
      <c r="R17" s="1542">
        <f>R13*R10</f>
        <v>0</v>
      </c>
      <c r="S17" s="1543">
        <f>S13*S10</f>
        <v>0</v>
      </c>
      <c r="T17" s="1544">
        <f>SUM(R17:S17)</f>
        <v>0</v>
      </c>
      <c r="U17" s="1542">
        <f>U13*U10</f>
        <v>0</v>
      </c>
      <c r="V17" s="1543">
        <f>V13*V10</f>
        <v>0</v>
      </c>
      <c r="W17" s="1573">
        <f>SUM(U17:V17)</f>
        <v>0</v>
      </c>
      <c r="X17" s="1580"/>
    </row>
    <row r="19" spans="2:25" ht="60" customHeight="1">
      <c r="B19" s="2593" t="s">
        <v>1910</v>
      </c>
      <c r="C19" s="2593"/>
      <c r="D19" s="2593"/>
      <c r="E19" s="2584"/>
      <c r="F19" s="2584"/>
      <c r="G19" s="2584"/>
      <c r="H19" s="2584"/>
      <c r="I19" s="2584"/>
      <c r="J19" s="2584"/>
      <c r="K19" s="2584"/>
      <c r="L19" s="2584"/>
      <c r="M19" s="2584"/>
      <c r="N19" s="1935"/>
      <c r="X19" s="1935"/>
    </row>
    <row r="20" spans="2:25" ht="15.75" thickBot="1">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row>
    <row r="21" spans="2:25">
      <c r="B21" s="1546" t="s">
        <v>1911</v>
      </c>
      <c r="C21" s="1547"/>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58"/>
    </row>
    <row r="22" spans="2:25" s="1507" customFormat="1" ht="30">
      <c r="B22" s="1548" t="s">
        <v>234</v>
      </c>
      <c r="C22" s="1549" t="s">
        <v>1780</v>
      </c>
      <c r="D22" s="1550" t="s">
        <v>249</v>
      </c>
      <c r="E22" s="1512"/>
      <c r="F22" s="1513"/>
      <c r="G22" s="1551">
        <f>SUM(E22:F22)</f>
        <v>0</v>
      </c>
      <c r="H22" s="1512"/>
      <c r="I22" s="1513"/>
      <c r="J22" s="1551">
        <f>SUM(H22:I22)</f>
        <v>0</v>
      </c>
      <c r="K22" s="1512"/>
      <c r="L22" s="1513"/>
      <c r="M22" s="1551">
        <f>SUM(K22:L22)</f>
        <v>0</v>
      </c>
      <c r="N22" s="1560"/>
      <c r="O22" s="1512"/>
      <c r="P22" s="1513"/>
      <c r="Q22" s="1551">
        <f>SUM(O22:P22)</f>
        <v>0</v>
      </c>
      <c r="R22" s="1512"/>
      <c r="S22" s="1513"/>
      <c r="T22" s="1551">
        <f>SUM(R22:S22)</f>
        <v>0</v>
      </c>
      <c r="U22" s="1512"/>
      <c r="V22" s="1513"/>
      <c r="W22" s="1551">
        <f>SUM(U22:V22)</f>
        <v>0</v>
      </c>
      <c r="X22" s="1575"/>
    </row>
    <row r="23" spans="2:25" s="1519" customFormat="1" ht="31.5">
      <c r="B23" s="1520" t="s">
        <v>237</v>
      </c>
      <c r="C23" s="1521" t="s">
        <v>1782</v>
      </c>
      <c r="D23" s="1522" t="s">
        <v>285</v>
      </c>
      <c r="E23" s="1520">
        <f>SUM(E24:E26)</f>
        <v>0</v>
      </c>
      <c r="F23" s="1552">
        <f>SUM(F24:F26)</f>
        <v>0</v>
      </c>
      <c r="G23" s="1524">
        <f>IFERROR(G27/G22,0)</f>
        <v>0</v>
      </c>
      <c r="H23" s="1520">
        <f>SUM(H24:H26)</f>
        <v>0</v>
      </c>
      <c r="I23" s="1552">
        <f>SUM(I24:I26)</f>
        <v>0</v>
      </c>
      <c r="J23" s="1524">
        <f>IFERROR(J27/J22,0)</f>
        <v>0</v>
      </c>
      <c r="K23" s="1520">
        <f>SUM(K24:K26)</f>
        <v>0</v>
      </c>
      <c r="L23" s="1552">
        <f>SUM(L24:L26)</f>
        <v>0</v>
      </c>
      <c r="M23" s="1524">
        <f>IFERROR(M27/M22,0)</f>
        <v>0</v>
      </c>
      <c r="N23" s="1562"/>
      <c r="O23" s="1520">
        <f>SUM(O24:O26)</f>
        <v>0</v>
      </c>
      <c r="P23" s="1552">
        <f>SUM(P24:P26)</f>
        <v>0</v>
      </c>
      <c r="Q23" s="1524">
        <f>IFERROR(Q27/Q22,0)</f>
        <v>0</v>
      </c>
      <c r="R23" s="1520">
        <f>SUM(R24:R26)</f>
        <v>0</v>
      </c>
      <c r="S23" s="1552">
        <f>SUM(S24:S26)</f>
        <v>0</v>
      </c>
      <c r="T23" s="1524">
        <f>IFERROR(T27/T22,0)</f>
        <v>0</v>
      </c>
      <c r="U23" s="1520">
        <f>SUM(U24:U26)</f>
        <v>0</v>
      </c>
      <c r="V23" s="1552">
        <f>SUM(V24:V26)</f>
        <v>0</v>
      </c>
      <c r="W23" s="1524">
        <f>IFERROR(W27/W22,0)</f>
        <v>0</v>
      </c>
      <c r="X23" s="1577"/>
    </row>
    <row r="24" spans="2:25" ht="30">
      <c r="B24" s="1525" t="s">
        <v>520</v>
      </c>
      <c r="C24" s="1526" t="s">
        <v>1907</v>
      </c>
      <c r="D24" s="1527" t="s">
        <v>285</v>
      </c>
      <c r="E24" s="1530"/>
      <c r="F24" s="1531"/>
      <c r="G24" s="1528">
        <f>IFERROR((E24*E22+F24*F22)/G22,0)</f>
        <v>0</v>
      </c>
      <c r="H24" s="1530"/>
      <c r="I24" s="1531"/>
      <c r="J24" s="1528">
        <f>IFERROR((H24*H22+I24*I22)/J22,0)</f>
        <v>0</v>
      </c>
      <c r="K24" s="1530"/>
      <c r="L24" s="1531"/>
      <c r="M24" s="1528">
        <f>IFERROR((K24*K22+L24*L22)/M22,0)</f>
        <v>0</v>
      </c>
      <c r="N24" s="1563"/>
      <c r="O24" s="1530"/>
      <c r="P24" s="1531"/>
      <c r="Q24" s="1528">
        <f>IFERROR((O24*O22+P24*P22)/Q22,0)</f>
        <v>0</v>
      </c>
      <c r="R24" s="1530"/>
      <c r="S24" s="1531"/>
      <c r="T24" s="1528">
        <f>IFERROR((R24*R22+S24*S22)/T22,0)</f>
        <v>0</v>
      </c>
      <c r="U24" s="1530"/>
      <c r="V24" s="1531"/>
      <c r="W24" s="1528">
        <f>IFERROR((U24*U22+V24*V22)/W22,0)</f>
        <v>0</v>
      </c>
      <c r="X24" s="1578"/>
    </row>
    <row r="25" spans="2:25" ht="30">
      <c r="B25" s="1525" t="s">
        <v>527</v>
      </c>
      <c r="C25" s="1526" t="s">
        <v>1908</v>
      </c>
      <c r="D25" s="1527" t="s">
        <v>285</v>
      </c>
      <c r="E25" s="1530"/>
      <c r="F25" s="1531"/>
      <c r="G25" s="1528">
        <f>IFERROR((E25*E22+F25*F22)/G22,0)</f>
        <v>0</v>
      </c>
      <c r="H25" s="1530"/>
      <c r="I25" s="1531"/>
      <c r="J25" s="1528">
        <f>IFERROR((H25*H22+I25*I22)/J22,0)</f>
        <v>0</v>
      </c>
      <c r="K25" s="1530"/>
      <c r="L25" s="1531"/>
      <c r="M25" s="1528">
        <f>IFERROR((K25*K22+L25*L22)/M22,0)</f>
        <v>0</v>
      </c>
      <c r="N25" s="1563"/>
      <c r="O25" s="1530"/>
      <c r="P25" s="1531"/>
      <c r="Q25" s="1528">
        <f>IFERROR((O25*O22+P25*P22)/Q22,0)</f>
        <v>0</v>
      </c>
      <c r="R25" s="1530"/>
      <c r="S25" s="1531"/>
      <c r="T25" s="1528">
        <f>IFERROR((R25*R22+S25*S22)/T22,0)</f>
        <v>0</v>
      </c>
      <c r="U25" s="1530"/>
      <c r="V25" s="1531"/>
      <c r="W25" s="1528">
        <f>IFERROR((U25*U22+V25*V22)/W22,0)</f>
        <v>0</v>
      </c>
      <c r="X25" s="1578"/>
    </row>
    <row r="26" spans="2:25" ht="15.75" thickBot="1">
      <c r="B26" s="1532" t="s">
        <v>533</v>
      </c>
      <c r="C26" s="1533" t="s">
        <v>1909</v>
      </c>
      <c r="D26" s="1534" t="s">
        <v>285</v>
      </c>
      <c r="E26" s="1537"/>
      <c r="F26" s="1538"/>
      <c r="G26" s="1535">
        <f>IFERROR((E26*E22+F26*F22)/G22,0)</f>
        <v>0</v>
      </c>
      <c r="H26" s="1537"/>
      <c r="I26" s="1538"/>
      <c r="J26" s="1535">
        <f>IFERROR((H26*H22+I26*I22)/J22,0)</f>
        <v>0</v>
      </c>
      <c r="K26" s="1537"/>
      <c r="L26" s="1538"/>
      <c r="M26" s="1535">
        <f>IFERROR((K26*K22+L26*L22)/M22,0)</f>
        <v>0</v>
      </c>
      <c r="N26" s="1564"/>
      <c r="O26" s="1537"/>
      <c r="P26" s="1538"/>
      <c r="Q26" s="1535">
        <f>IFERROR((O26*O22+P26*P22)/Q22,0)</f>
        <v>0</v>
      </c>
      <c r="R26" s="1537"/>
      <c r="S26" s="1538"/>
      <c r="T26" s="1535">
        <f>IFERROR((R26*R22+S26*S22)/T22,0)</f>
        <v>0</v>
      </c>
      <c r="U26" s="1537"/>
      <c r="V26" s="1538"/>
      <c r="W26" s="1535">
        <f>IFERROR((U26*U22+V26*V22)/W22,0)</f>
        <v>0</v>
      </c>
      <c r="X26" s="1579"/>
    </row>
    <row r="27" spans="2:25" ht="32.25" thickBot="1">
      <c r="B27" s="1539" t="s">
        <v>239</v>
      </c>
      <c r="C27" s="1553" t="s">
        <v>1783</v>
      </c>
      <c r="D27" s="1541" t="s">
        <v>600</v>
      </c>
      <c r="E27" s="1539">
        <f>E23*E22</f>
        <v>0</v>
      </c>
      <c r="F27" s="1554">
        <f>F23*F22</f>
        <v>0</v>
      </c>
      <c r="G27" s="1555">
        <f>SUM(E27:F27)</f>
        <v>0</v>
      </c>
      <c r="H27" s="1539">
        <f>H23*H22</f>
        <v>0</v>
      </c>
      <c r="I27" s="1554">
        <f>I23*I22</f>
        <v>0</v>
      </c>
      <c r="J27" s="1555">
        <f>SUM(H27:I27)</f>
        <v>0</v>
      </c>
      <c r="K27" s="1539">
        <f>K23*K22</f>
        <v>0</v>
      </c>
      <c r="L27" s="1554">
        <f>L23*L22</f>
        <v>0</v>
      </c>
      <c r="M27" s="1555">
        <f>SUM(K27:L27)</f>
        <v>0</v>
      </c>
      <c r="N27" s="1566"/>
      <c r="O27" s="1539">
        <f>O23*O22</f>
        <v>0</v>
      </c>
      <c r="P27" s="1554">
        <f>P23*P22</f>
        <v>0</v>
      </c>
      <c r="Q27" s="1555">
        <f>SUM(O27:P27)</f>
        <v>0</v>
      </c>
      <c r="R27" s="1539">
        <f>R23*R22</f>
        <v>0</v>
      </c>
      <c r="S27" s="1554">
        <f>S23*S22</f>
        <v>0</v>
      </c>
      <c r="T27" s="1555">
        <f>SUM(R27:S27)</f>
        <v>0</v>
      </c>
      <c r="U27" s="1539">
        <f>U23*U22</f>
        <v>0</v>
      </c>
      <c r="V27" s="1554">
        <f>V23*V22</f>
        <v>0</v>
      </c>
      <c r="W27" s="1555">
        <f>SUM(U27:V27)</f>
        <v>0</v>
      </c>
      <c r="X27" s="1581"/>
    </row>
    <row r="28" spans="2:25" ht="15.75" thickBot="1">
      <c r="B28" s="1545"/>
      <c r="C28" s="1545"/>
      <c r="D28" s="1545"/>
      <c r="E28" s="1545"/>
      <c r="F28" s="1545"/>
      <c r="G28" s="1545"/>
      <c r="H28" s="1545"/>
      <c r="I28" s="1545"/>
      <c r="J28" s="1545"/>
      <c r="K28" s="1545"/>
      <c r="L28" s="1545"/>
      <c r="M28" s="1545"/>
      <c r="N28" s="1545"/>
      <c r="O28" s="1545"/>
      <c r="P28" s="1545"/>
      <c r="Q28" s="1545"/>
      <c r="R28" s="1545"/>
      <c r="S28" s="1545"/>
      <c r="T28" s="1545"/>
      <c r="U28" s="1545"/>
      <c r="V28" s="1545"/>
      <c r="W28" s="1545"/>
      <c r="X28" s="1545"/>
    </row>
    <row r="29" spans="2:25">
      <c r="B29" s="1546" t="s">
        <v>1911</v>
      </c>
      <c r="C29" s="1547"/>
      <c r="D29" s="1547"/>
      <c r="E29" s="1547"/>
      <c r="F29" s="1547"/>
      <c r="G29" s="1547"/>
      <c r="H29" s="1547"/>
      <c r="I29" s="1547"/>
      <c r="J29" s="1547"/>
      <c r="K29" s="1547"/>
      <c r="L29" s="1547"/>
      <c r="M29" s="1547"/>
      <c r="N29" s="1547"/>
      <c r="O29" s="1547"/>
      <c r="P29" s="1547"/>
      <c r="Q29" s="1547"/>
      <c r="R29" s="1547"/>
      <c r="S29" s="1547"/>
      <c r="T29" s="1547"/>
      <c r="U29" s="1547"/>
      <c r="V29" s="1547"/>
      <c r="W29" s="1547"/>
      <c r="X29" s="1547"/>
      <c r="Y29" s="1558"/>
    </row>
    <row r="30" spans="2:25" s="1507" customFormat="1" ht="30">
      <c r="B30" s="1548" t="s">
        <v>234</v>
      </c>
      <c r="C30" s="1549" t="s">
        <v>1780</v>
      </c>
      <c r="D30" s="1550" t="s">
        <v>249</v>
      </c>
      <c r="E30" s="1512"/>
      <c r="F30" s="1513"/>
      <c r="G30" s="1551">
        <f>SUM(E30:F30)</f>
        <v>0</v>
      </c>
      <c r="H30" s="1512"/>
      <c r="I30" s="1513"/>
      <c r="J30" s="1551">
        <f>SUM(H30:I30)</f>
        <v>0</v>
      </c>
      <c r="K30" s="1512"/>
      <c r="L30" s="1513"/>
      <c r="M30" s="1551">
        <f>SUM(K30:L30)</f>
        <v>0</v>
      </c>
      <c r="N30" s="1560"/>
      <c r="O30" s="1512"/>
      <c r="P30" s="1513"/>
      <c r="Q30" s="1551">
        <f>SUM(O30:P30)</f>
        <v>0</v>
      </c>
      <c r="R30" s="1512"/>
      <c r="S30" s="1513"/>
      <c r="T30" s="1551">
        <f>SUM(R30:S30)</f>
        <v>0</v>
      </c>
      <c r="U30" s="1512"/>
      <c r="V30" s="1513"/>
      <c r="W30" s="1551">
        <f>SUM(U30:V30)</f>
        <v>0</v>
      </c>
      <c r="X30" s="1575"/>
    </row>
    <row r="31" spans="2:25" s="1519" customFormat="1" ht="31.5">
      <c r="B31" s="1520" t="s">
        <v>237</v>
      </c>
      <c r="C31" s="1521" t="s">
        <v>1782</v>
      </c>
      <c r="D31" s="1522" t="s">
        <v>285</v>
      </c>
      <c r="E31" s="1520">
        <f>SUM(E32:E34)</f>
        <v>0</v>
      </c>
      <c r="F31" s="1552">
        <f>SUM(F32:F34)</f>
        <v>0</v>
      </c>
      <c r="G31" s="1524">
        <f>IFERROR(G35/G30,0)</f>
        <v>0</v>
      </c>
      <c r="H31" s="1520">
        <f>SUM(H32:H34)</f>
        <v>0</v>
      </c>
      <c r="I31" s="1552">
        <f>SUM(I32:I34)</f>
        <v>0</v>
      </c>
      <c r="J31" s="1524">
        <f>IFERROR(J35/J30,0)</f>
        <v>0</v>
      </c>
      <c r="K31" s="1520">
        <f>SUM(K32:K34)</f>
        <v>0</v>
      </c>
      <c r="L31" s="1552">
        <f>SUM(L32:L34)</f>
        <v>0</v>
      </c>
      <c r="M31" s="1524">
        <f>IFERROR(M35/M30,0)</f>
        <v>0</v>
      </c>
      <c r="N31" s="1562"/>
      <c r="O31" s="1520">
        <f>SUM(O32:O34)</f>
        <v>0</v>
      </c>
      <c r="P31" s="1552">
        <f>SUM(P32:P34)</f>
        <v>0</v>
      </c>
      <c r="Q31" s="1524">
        <f>IFERROR(Q35/Q30,0)</f>
        <v>0</v>
      </c>
      <c r="R31" s="1520">
        <f>SUM(R32:R34)</f>
        <v>0</v>
      </c>
      <c r="S31" s="1552">
        <f>SUM(S32:S34)</f>
        <v>0</v>
      </c>
      <c r="T31" s="1524">
        <f>IFERROR(T35/T30,0)</f>
        <v>0</v>
      </c>
      <c r="U31" s="1520">
        <f>SUM(U32:U34)</f>
        <v>0</v>
      </c>
      <c r="V31" s="1552">
        <f>SUM(V32:V34)</f>
        <v>0</v>
      </c>
      <c r="W31" s="1524">
        <f>IFERROR(W35/W30,0)</f>
        <v>0</v>
      </c>
      <c r="X31" s="1577"/>
    </row>
    <row r="32" spans="2:25" ht="30">
      <c r="B32" s="1525" t="s">
        <v>520</v>
      </c>
      <c r="C32" s="1526" t="s">
        <v>1907</v>
      </c>
      <c r="D32" s="1527" t="s">
        <v>285</v>
      </c>
      <c r="E32" s="1530"/>
      <c r="F32" s="1531"/>
      <c r="G32" s="1528">
        <f>IFERROR((E32*E30+F32*F30)/G30,0)</f>
        <v>0</v>
      </c>
      <c r="H32" s="1530"/>
      <c r="I32" s="1531"/>
      <c r="J32" s="1528">
        <f>IFERROR((H32*H30+I32*I30)/J30,0)</f>
        <v>0</v>
      </c>
      <c r="K32" s="1530"/>
      <c r="L32" s="1531"/>
      <c r="M32" s="1528">
        <f>IFERROR((K32*K30+L32*L30)/M30,0)</f>
        <v>0</v>
      </c>
      <c r="N32" s="1563"/>
      <c r="O32" s="1530"/>
      <c r="P32" s="1531"/>
      <c r="Q32" s="1528">
        <f>IFERROR((O32*O30+P32*P30)/Q30,0)</f>
        <v>0</v>
      </c>
      <c r="R32" s="1530"/>
      <c r="S32" s="1531"/>
      <c r="T32" s="1528">
        <f>IFERROR((R32*R30+S32*S30)/T30,0)</f>
        <v>0</v>
      </c>
      <c r="U32" s="1530"/>
      <c r="V32" s="1531"/>
      <c r="W32" s="1528">
        <f>IFERROR((U32*U30+V32*V30)/W30,0)</f>
        <v>0</v>
      </c>
      <c r="X32" s="1578"/>
    </row>
    <row r="33" spans="2:24" ht="30">
      <c r="B33" s="1525" t="s">
        <v>527</v>
      </c>
      <c r="C33" s="1526" t="s">
        <v>1908</v>
      </c>
      <c r="D33" s="1527" t="s">
        <v>285</v>
      </c>
      <c r="E33" s="1530"/>
      <c r="F33" s="1531"/>
      <c r="G33" s="1528">
        <f>IFERROR((E33*E30+F33*F30)/G30,0)</f>
        <v>0</v>
      </c>
      <c r="H33" s="1530"/>
      <c r="I33" s="1531"/>
      <c r="J33" s="1528">
        <f>IFERROR((H33*H30+I33*I30)/J30,0)</f>
        <v>0</v>
      </c>
      <c r="K33" s="1530"/>
      <c r="L33" s="1531"/>
      <c r="M33" s="1528">
        <f>IFERROR((K33*K30+L33*L30)/M30,0)</f>
        <v>0</v>
      </c>
      <c r="N33" s="1563"/>
      <c r="O33" s="1530"/>
      <c r="P33" s="1531"/>
      <c r="Q33" s="1528">
        <f>IFERROR((O33*O30+P33*P30)/Q30,0)</f>
        <v>0</v>
      </c>
      <c r="R33" s="1530"/>
      <c r="S33" s="1531"/>
      <c r="T33" s="1528">
        <f>IFERROR((R33*R30+S33*S30)/T30,0)</f>
        <v>0</v>
      </c>
      <c r="U33" s="1530"/>
      <c r="V33" s="1531"/>
      <c r="W33" s="1528">
        <f>IFERROR((U33*U30+V33*V30)/W30,0)</f>
        <v>0</v>
      </c>
      <c r="X33" s="1578"/>
    </row>
    <row r="34" spans="2:24" ht="15.75" thickBot="1">
      <c r="B34" s="1532" t="s">
        <v>533</v>
      </c>
      <c r="C34" s="1533" t="s">
        <v>1909</v>
      </c>
      <c r="D34" s="1534" t="s">
        <v>285</v>
      </c>
      <c r="E34" s="1537"/>
      <c r="F34" s="1538"/>
      <c r="G34" s="1535">
        <f>IFERROR((E34*E30+F34*F30)/G30,0)</f>
        <v>0</v>
      </c>
      <c r="H34" s="1537"/>
      <c r="I34" s="1538"/>
      <c r="J34" s="1535">
        <f>IFERROR((H34*H30+I34*I30)/J30,0)</f>
        <v>0</v>
      </c>
      <c r="K34" s="1537"/>
      <c r="L34" s="1538"/>
      <c r="M34" s="1535">
        <f>IFERROR((K34*K30+L34*L30)/M30,0)</f>
        <v>0</v>
      </c>
      <c r="N34" s="1564"/>
      <c r="O34" s="1537"/>
      <c r="P34" s="1538"/>
      <c r="Q34" s="1535">
        <f>IFERROR((O34*O30+P34*P30)/Q30,0)</f>
        <v>0</v>
      </c>
      <c r="R34" s="1537"/>
      <c r="S34" s="1538"/>
      <c r="T34" s="1535">
        <f>IFERROR((R34*R30+S34*S30)/T30,0)</f>
        <v>0</v>
      </c>
      <c r="U34" s="1537"/>
      <c r="V34" s="1538"/>
      <c r="W34" s="1535">
        <f>IFERROR((U34*U30+V34*V30)/W30,0)</f>
        <v>0</v>
      </c>
      <c r="X34" s="1579"/>
    </row>
    <row r="35" spans="2:24" ht="32.25" thickBot="1">
      <c r="B35" s="1539" t="s">
        <v>239</v>
      </c>
      <c r="C35" s="1553" t="s">
        <v>1783</v>
      </c>
      <c r="D35" s="1541" t="s">
        <v>600</v>
      </c>
      <c r="E35" s="1539">
        <f>E31*E30</f>
        <v>0</v>
      </c>
      <c r="F35" s="1554">
        <f>F31*F30</f>
        <v>0</v>
      </c>
      <c r="G35" s="1555">
        <f>SUM(E35:F35)</f>
        <v>0</v>
      </c>
      <c r="H35" s="1539">
        <f>H31*H30</f>
        <v>0</v>
      </c>
      <c r="I35" s="1554">
        <f>I31*I30</f>
        <v>0</v>
      </c>
      <c r="J35" s="1555">
        <f>SUM(H35:I35)</f>
        <v>0</v>
      </c>
      <c r="K35" s="1539">
        <f>K31*K30</f>
        <v>0</v>
      </c>
      <c r="L35" s="1554">
        <f>L31*L30</f>
        <v>0</v>
      </c>
      <c r="M35" s="1555">
        <f>SUM(K35:L35)</f>
        <v>0</v>
      </c>
      <c r="N35" s="1566"/>
      <c r="O35" s="1539">
        <f>O31*O30</f>
        <v>0</v>
      </c>
      <c r="P35" s="1554">
        <f>P31*P30</f>
        <v>0</v>
      </c>
      <c r="Q35" s="1555">
        <f>SUM(O35:P35)</f>
        <v>0</v>
      </c>
      <c r="R35" s="1539">
        <f>R31*R30</f>
        <v>0</v>
      </c>
      <c r="S35" s="1554">
        <f>S31*S30</f>
        <v>0</v>
      </c>
      <c r="T35" s="1555">
        <f>SUM(R35:S35)</f>
        <v>0</v>
      </c>
      <c r="U35" s="1539">
        <f>U31*U30</f>
        <v>0</v>
      </c>
      <c r="V35" s="1554">
        <f>V31*V30</f>
        <v>0</v>
      </c>
      <c r="W35" s="1555">
        <f>SUM(U35:V35)</f>
        <v>0</v>
      </c>
      <c r="X35" s="1581"/>
    </row>
    <row r="36" spans="2:24" ht="15.75" thickBot="1">
      <c r="B36" s="1545"/>
      <c r="C36" s="1545"/>
      <c r="D36" s="1545"/>
      <c r="E36" s="1545"/>
      <c r="F36" s="1545"/>
      <c r="G36" s="1545"/>
      <c r="H36" s="1545"/>
      <c r="I36" s="1545"/>
      <c r="J36" s="1545"/>
      <c r="K36" s="1545"/>
      <c r="L36" s="1545"/>
      <c r="M36" s="1545"/>
      <c r="N36" s="1545"/>
      <c r="O36" s="1545"/>
      <c r="P36" s="1545"/>
      <c r="Q36" s="1545"/>
      <c r="R36" s="1545"/>
      <c r="S36" s="1545"/>
      <c r="T36" s="1545"/>
      <c r="U36" s="1545"/>
      <c r="V36" s="1545"/>
      <c r="W36" s="1545"/>
      <c r="X36" s="1545"/>
    </row>
    <row r="37" spans="2:24">
      <c r="B37" s="1546" t="s">
        <v>1911</v>
      </c>
      <c r="C37" s="1547"/>
      <c r="D37" s="1547"/>
      <c r="E37" s="1547"/>
      <c r="F37" s="1547"/>
      <c r="G37" s="1547"/>
      <c r="H37" s="1547"/>
      <c r="I37" s="1547"/>
      <c r="J37" s="1547"/>
      <c r="K37" s="1547"/>
      <c r="L37" s="1547"/>
      <c r="M37" s="1547"/>
      <c r="N37" s="1547"/>
      <c r="O37" s="1547"/>
      <c r="P37" s="1547"/>
      <c r="Q37" s="1547"/>
      <c r="R37" s="1547"/>
      <c r="S37" s="1547"/>
      <c r="T37" s="1547"/>
      <c r="U37" s="1547"/>
      <c r="V37" s="1547"/>
      <c r="W37" s="1547"/>
      <c r="X37" s="1557"/>
    </row>
    <row r="38" spans="2:24" s="1507" customFormat="1" ht="30">
      <c r="B38" s="1548" t="s">
        <v>234</v>
      </c>
      <c r="C38" s="1549" t="s">
        <v>1780</v>
      </c>
      <c r="D38" s="1550" t="s">
        <v>249</v>
      </c>
      <c r="E38" s="1512"/>
      <c r="F38" s="1513"/>
      <c r="G38" s="1551">
        <f>SUM(E38:F38)</f>
        <v>0</v>
      </c>
      <c r="H38" s="1512"/>
      <c r="I38" s="1513"/>
      <c r="J38" s="1551">
        <f>SUM(H38:I38)</f>
        <v>0</v>
      </c>
      <c r="K38" s="1512"/>
      <c r="L38" s="1513"/>
      <c r="M38" s="1551">
        <f>SUM(K38:L38)</f>
        <v>0</v>
      </c>
      <c r="N38" s="1560"/>
      <c r="O38" s="1512"/>
      <c r="P38" s="1513"/>
      <c r="Q38" s="1551">
        <f>SUM(O38:P38)</f>
        <v>0</v>
      </c>
      <c r="R38" s="1512"/>
      <c r="S38" s="1513"/>
      <c r="T38" s="1551">
        <f>SUM(R38:S38)</f>
        <v>0</v>
      </c>
      <c r="U38" s="1512"/>
      <c r="V38" s="1513"/>
      <c r="W38" s="1551">
        <f>SUM(U38:V38)</f>
        <v>0</v>
      </c>
      <c r="X38" s="1582"/>
    </row>
    <row r="39" spans="2:24" s="1519" customFormat="1" ht="31.5">
      <c r="B39" s="1520" t="s">
        <v>237</v>
      </c>
      <c r="C39" s="1521" t="s">
        <v>1782</v>
      </c>
      <c r="D39" s="1522" t="s">
        <v>285</v>
      </c>
      <c r="E39" s="1520">
        <f>SUM(E40:E42)</f>
        <v>0</v>
      </c>
      <c r="F39" s="1552">
        <f>SUM(F40:F42)</f>
        <v>0</v>
      </c>
      <c r="G39" s="1524">
        <f>IFERROR(G43/G38,0)</f>
        <v>0</v>
      </c>
      <c r="H39" s="1520">
        <f>SUM(H40:H42)</f>
        <v>0</v>
      </c>
      <c r="I39" s="1552">
        <f>SUM(I40:I42)</f>
        <v>0</v>
      </c>
      <c r="J39" s="1524">
        <f>IFERROR(J43/J38,0)</f>
        <v>0</v>
      </c>
      <c r="K39" s="1520">
        <f>SUM(K40:K42)</f>
        <v>0</v>
      </c>
      <c r="L39" s="1552">
        <f>SUM(L40:L42)</f>
        <v>0</v>
      </c>
      <c r="M39" s="1524">
        <f>IFERROR(M43/M38,0)</f>
        <v>0</v>
      </c>
      <c r="N39" s="1562"/>
      <c r="O39" s="1520">
        <f>SUM(O40:O42)</f>
        <v>0</v>
      </c>
      <c r="P39" s="1552">
        <f>SUM(P40:P42)</f>
        <v>0</v>
      </c>
      <c r="Q39" s="1524">
        <f>IFERROR(Q43/Q38,0)</f>
        <v>0</v>
      </c>
      <c r="R39" s="1520">
        <f>SUM(R40:R42)</f>
        <v>0</v>
      </c>
      <c r="S39" s="1552">
        <f>SUM(S40:S42)</f>
        <v>0</v>
      </c>
      <c r="T39" s="1524">
        <f>IFERROR(T43/T38,0)</f>
        <v>0</v>
      </c>
      <c r="U39" s="1520">
        <f>SUM(U40:U42)</f>
        <v>0</v>
      </c>
      <c r="V39" s="1552">
        <f>SUM(V40:V42)</f>
        <v>0</v>
      </c>
      <c r="W39" s="1524">
        <f>IFERROR(W43/W38,0)</f>
        <v>0</v>
      </c>
      <c r="X39" s="1583"/>
    </row>
    <row r="40" spans="2:24" ht="30">
      <c r="B40" s="1525" t="s">
        <v>520</v>
      </c>
      <c r="C40" s="1526" t="s">
        <v>1907</v>
      </c>
      <c r="D40" s="1527" t="s">
        <v>285</v>
      </c>
      <c r="E40" s="1530"/>
      <c r="F40" s="1531"/>
      <c r="G40" s="1528">
        <f>IFERROR((E40*E38+F40*F38)/G38,0)</f>
        <v>0</v>
      </c>
      <c r="H40" s="1530"/>
      <c r="I40" s="1531"/>
      <c r="J40" s="1528">
        <f>IFERROR((H40*H38+I40*I38)/J38,0)</f>
        <v>0</v>
      </c>
      <c r="K40" s="1530"/>
      <c r="L40" s="1531"/>
      <c r="M40" s="1528">
        <f>IFERROR((K40*K38+L40*L38)/M38,0)</f>
        <v>0</v>
      </c>
      <c r="N40" s="1563"/>
      <c r="O40" s="1530"/>
      <c r="P40" s="1531"/>
      <c r="Q40" s="1528">
        <f>IFERROR((O40*O38+P40*P38)/Q38,0)</f>
        <v>0</v>
      </c>
      <c r="R40" s="1530"/>
      <c r="S40" s="1531"/>
      <c r="T40" s="1528">
        <f>IFERROR((R40*R38+S40*S38)/T38,0)</f>
        <v>0</v>
      </c>
      <c r="U40" s="1530"/>
      <c r="V40" s="1531"/>
      <c r="W40" s="1528">
        <f>IFERROR((U40*U38+V40*V38)/W38,0)</f>
        <v>0</v>
      </c>
      <c r="X40" s="1584"/>
    </row>
    <row r="41" spans="2:24" ht="30">
      <c r="B41" s="1525" t="s">
        <v>527</v>
      </c>
      <c r="C41" s="1526" t="s">
        <v>1908</v>
      </c>
      <c r="D41" s="1527" t="s">
        <v>285</v>
      </c>
      <c r="E41" s="1530"/>
      <c r="F41" s="1531"/>
      <c r="G41" s="1528">
        <f>IFERROR((E41*E38+F41*F38)/G38,0)</f>
        <v>0</v>
      </c>
      <c r="H41" s="1530"/>
      <c r="I41" s="1531"/>
      <c r="J41" s="1528">
        <f>IFERROR((H41*H38+I41*I38)/J38,0)</f>
        <v>0</v>
      </c>
      <c r="K41" s="1530"/>
      <c r="L41" s="1531"/>
      <c r="M41" s="1528">
        <f>IFERROR((K41*K38+L41*L38)/M38,0)</f>
        <v>0</v>
      </c>
      <c r="N41" s="1563"/>
      <c r="O41" s="1530"/>
      <c r="P41" s="1531"/>
      <c r="Q41" s="1528">
        <f>IFERROR((O41*O38+P41*P38)/Q38,0)</f>
        <v>0</v>
      </c>
      <c r="R41" s="1530"/>
      <c r="S41" s="1531"/>
      <c r="T41" s="1528">
        <f>IFERROR((R41*R38+S41*S38)/T38,0)</f>
        <v>0</v>
      </c>
      <c r="U41" s="1530"/>
      <c r="V41" s="1531"/>
      <c r="W41" s="1528">
        <f>IFERROR((U41*U38+V41*V38)/W38,0)</f>
        <v>0</v>
      </c>
      <c r="X41" s="1584"/>
    </row>
    <row r="42" spans="2:24" ht="15.75" thickBot="1">
      <c r="B42" s="1532" t="s">
        <v>533</v>
      </c>
      <c r="C42" s="1533" t="s">
        <v>1909</v>
      </c>
      <c r="D42" s="1534" t="s">
        <v>285</v>
      </c>
      <c r="E42" s="1537"/>
      <c r="F42" s="1538"/>
      <c r="G42" s="1535">
        <f>IFERROR((E42*E38+F42*F38)/G38,0)</f>
        <v>0</v>
      </c>
      <c r="H42" s="1537"/>
      <c r="I42" s="1538"/>
      <c r="J42" s="1535">
        <f>IFERROR((H42*H38+I42*I38)/J38,0)</f>
        <v>0</v>
      </c>
      <c r="K42" s="1537"/>
      <c r="L42" s="1538"/>
      <c r="M42" s="1535">
        <f>IFERROR((K42*K38+L42*L38)/M38,0)</f>
        <v>0</v>
      </c>
      <c r="N42" s="1564"/>
      <c r="O42" s="1537"/>
      <c r="P42" s="1538"/>
      <c r="Q42" s="1535">
        <f>IFERROR((O42*O38+P42*P38)/Q38,0)</f>
        <v>0</v>
      </c>
      <c r="R42" s="1537"/>
      <c r="S42" s="1538"/>
      <c r="T42" s="1535">
        <f>IFERROR((R42*R38+S42*S38)/T38,0)</f>
        <v>0</v>
      </c>
      <c r="U42" s="1537"/>
      <c r="V42" s="1538"/>
      <c r="W42" s="1535">
        <f>IFERROR((U42*U38+V42*V38)/W38,0)</f>
        <v>0</v>
      </c>
      <c r="X42" s="1585"/>
    </row>
    <row r="43" spans="2:24" ht="32.25" thickBot="1">
      <c r="B43" s="1539" t="s">
        <v>239</v>
      </c>
      <c r="C43" s="1553" t="s">
        <v>1783</v>
      </c>
      <c r="D43" s="1541" t="s">
        <v>600</v>
      </c>
      <c r="E43" s="1539">
        <f>E39*E38</f>
        <v>0</v>
      </c>
      <c r="F43" s="1554">
        <f>F39*F38</f>
        <v>0</v>
      </c>
      <c r="G43" s="1555">
        <f>SUM(E43:F43)</f>
        <v>0</v>
      </c>
      <c r="H43" s="1539">
        <f>H39*H38</f>
        <v>0</v>
      </c>
      <c r="I43" s="1554">
        <f>I39*I38</f>
        <v>0</v>
      </c>
      <c r="J43" s="1555">
        <f>SUM(H43:I43)</f>
        <v>0</v>
      </c>
      <c r="K43" s="1539">
        <f>K39*K38</f>
        <v>0</v>
      </c>
      <c r="L43" s="1554">
        <f>L39*L38</f>
        <v>0</v>
      </c>
      <c r="M43" s="1555">
        <f>SUM(K43:L43)</f>
        <v>0</v>
      </c>
      <c r="N43" s="1566"/>
      <c r="O43" s="1539">
        <f>O39*O38</f>
        <v>0</v>
      </c>
      <c r="P43" s="1554">
        <f>P39*P38</f>
        <v>0</v>
      </c>
      <c r="Q43" s="1555">
        <f>SUM(O43:P43)</f>
        <v>0</v>
      </c>
      <c r="R43" s="1539">
        <f>R39*R38</f>
        <v>0</v>
      </c>
      <c r="S43" s="1554">
        <f>S39*S38</f>
        <v>0</v>
      </c>
      <c r="T43" s="1555">
        <f>SUM(R43:S43)</f>
        <v>0</v>
      </c>
      <c r="U43" s="1539">
        <f>U39*U38</f>
        <v>0</v>
      </c>
      <c r="V43" s="1554">
        <f>V39*V38</f>
        <v>0</v>
      </c>
      <c r="W43" s="1555">
        <f>SUM(U43:V43)</f>
        <v>0</v>
      </c>
      <c r="X43" s="1586"/>
    </row>
    <row r="44" spans="2:24" ht="15.75" thickBot="1">
      <c r="B44" s="1545"/>
      <c r="C44" s="1545"/>
      <c r="D44" s="1545"/>
      <c r="E44" s="1545"/>
      <c r="F44" s="1545"/>
      <c r="G44" s="1545"/>
      <c r="H44" s="1545"/>
      <c r="I44" s="1545"/>
      <c r="J44" s="1545"/>
      <c r="K44" s="1545"/>
      <c r="L44" s="1545"/>
      <c r="M44" s="1545"/>
      <c r="N44" s="1545"/>
      <c r="O44" s="1545"/>
      <c r="P44" s="1545"/>
      <c r="Q44" s="1545"/>
      <c r="R44" s="1545"/>
      <c r="S44" s="1545"/>
      <c r="T44" s="1545"/>
      <c r="U44" s="1545"/>
      <c r="V44" s="1545"/>
      <c r="W44" s="1545"/>
      <c r="X44" s="1545"/>
    </row>
    <row r="45" spans="2:24">
      <c r="B45" s="1546" t="s">
        <v>1911</v>
      </c>
      <c r="C45" s="1547"/>
      <c r="D45" s="1547"/>
      <c r="E45" s="1547"/>
      <c r="F45" s="1547"/>
      <c r="G45" s="1547"/>
      <c r="H45" s="1547"/>
      <c r="I45" s="1547"/>
      <c r="J45" s="1547"/>
      <c r="K45" s="1547"/>
      <c r="L45" s="1547"/>
      <c r="M45" s="1547"/>
      <c r="N45" s="1547"/>
      <c r="O45" s="1547"/>
      <c r="P45" s="1547"/>
      <c r="Q45" s="1547"/>
      <c r="R45" s="1547"/>
      <c r="S45" s="1547"/>
      <c r="T45" s="1547"/>
      <c r="U45" s="1547"/>
      <c r="V45" s="1547"/>
      <c r="W45" s="1547"/>
      <c r="X45" s="1557"/>
    </row>
    <row r="46" spans="2:24" s="1507" customFormat="1" ht="30">
      <c r="B46" s="1548" t="s">
        <v>234</v>
      </c>
      <c r="C46" s="1549" t="s">
        <v>1780</v>
      </c>
      <c r="D46" s="1550" t="s">
        <v>249</v>
      </c>
      <c r="E46" s="1512"/>
      <c r="F46" s="1513"/>
      <c r="G46" s="1551">
        <f>SUM(E46:F46)</f>
        <v>0</v>
      </c>
      <c r="H46" s="1512"/>
      <c r="I46" s="1513"/>
      <c r="J46" s="1551">
        <f>SUM(H46:I46)</f>
        <v>0</v>
      </c>
      <c r="K46" s="1512"/>
      <c r="L46" s="1513"/>
      <c r="M46" s="1551">
        <f>SUM(K46:L46)</f>
        <v>0</v>
      </c>
      <c r="N46" s="1560"/>
      <c r="O46" s="1512"/>
      <c r="P46" s="1513"/>
      <c r="Q46" s="1551">
        <f>SUM(O46:P46)</f>
        <v>0</v>
      </c>
      <c r="R46" s="1512"/>
      <c r="S46" s="1513"/>
      <c r="T46" s="1551">
        <f>SUM(R46:S46)</f>
        <v>0</v>
      </c>
      <c r="U46" s="1512"/>
      <c r="V46" s="1513"/>
      <c r="W46" s="1551">
        <f>SUM(U46:V46)</f>
        <v>0</v>
      </c>
      <c r="X46" s="1582"/>
    </row>
    <row r="47" spans="2:24" s="1519" customFormat="1" ht="31.5">
      <c r="B47" s="1520" t="s">
        <v>237</v>
      </c>
      <c r="C47" s="1521" t="s">
        <v>1782</v>
      </c>
      <c r="D47" s="1522" t="s">
        <v>285</v>
      </c>
      <c r="E47" s="1520">
        <f>SUM(E48:E50)</f>
        <v>0</v>
      </c>
      <c r="F47" s="1552">
        <f>SUM(F48:F50)</f>
        <v>0</v>
      </c>
      <c r="G47" s="1524">
        <f>IFERROR(G51/G46,0)</f>
        <v>0</v>
      </c>
      <c r="H47" s="1520">
        <f>SUM(H48:H50)</f>
        <v>0</v>
      </c>
      <c r="I47" s="1552">
        <f>SUM(I48:I50)</f>
        <v>0</v>
      </c>
      <c r="J47" s="1524">
        <f>IFERROR(J51/J46,0)</f>
        <v>0</v>
      </c>
      <c r="K47" s="1520">
        <f>SUM(K48:K50)</f>
        <v>0</v>
      </c>
      <c r="L47" s="1552">
        <f>SUM(L48:L50)</f>
        <v>0</v>
      </c>
      <c r="M47" s="1524">
        <f>IFERROR(M51/M46,0)</f>
        <v>0</v>
      </c>
      <c r="N47" s="1562"/>
      <c r="O47" s="1520">
        <f>SUM(O48:O50)</f>
        <v>0</v>
      </c>
      <c r="P47" s="1552">
        <f>SUM(P48:P50)</f>
        <v>0</v>
      </c>
      <c r="Q47" s="1524">
        <f>IFERROR(Q51/Q46,0)</f>
        <v>0</v>
      </c>
      <c r="R47" s="1520">
        <f>SUM(R48:R50)</f>
        <v>0</v>
      </c>
      <c r="S47" s="1552">
        <f>SUM(S48:S50)</f>
        <v>0</v>
      </c>
      <c r="T47" s="1524">
        <f>IFERROR(T51/T46,0)</f>
        <v>0</v>
      </c>
      <c r="U47" s="1520">
        <f>SUM(U48:U50)</f>
        <v>0</v>
      </c>
      <c r="V47" s="1552">
        <f>SUM(V48:V50)</f>
        <v>0</v>
      </c>
      <c r="W47" s="1524">
        <f>IFERROR(W51/W46,0)</f>
        <v>0</v>
      </c>
      <c r="X47" s="1583"/>
    </row>
    <row r="48" spans="2:24" ht="30">
      <c r="B48" s="1525" t="s">
        <v>520</v>
      </c>
      <c r="C48" s="1526" t="s">
        <v>1907</v>
      </c>
      <c r="D48" s="1527" t="s">
        <v>285</v>
      </c>
      <c r="E48" s="1530"/>
      <c r="F48" s="1531"/>
      <c r="G48" s="1528">
        <f>IFERROR((E48*E46+F48*F46)/G46,0)</f>
        <v>0</v>
      </c>
      <c r="H48" s="1530"/>
      <c r="I48" s="1531"/>
      <c r="J48" s="1528">
        <f>IFERROR((H48*H46+I48*I46)/J46,0)</f>
        <v>0</v>
      </c>
      <c r="K48" s="1530"/>
      <c r="L48" s="1531"/>
      <c r="M48" s="1528">
        <f>IFERROR((K48*K46+L48*L46)/M46,0)</f>
        <v>0</v>
      </c>
      <c r="N48" s="1563"/>
      <c r="O48" s="1530"/>
      <c r="P48" s="1531"/>
      <c r="Q48" s="1528">
        <f>IFERROR((O48*O46+P48*P46)/Q46,0)</f>
        <v>0</v>
      </c>
      <c r="R48" s="1530"/>
      <c r="S48" s="1531"/>
      <c r="T48" s="1528">
        <f>IFERROR((R48*R46+S48*S46)/T46,0)</f>
        <v>0</v>
      </c>
      <c r="U48" s="1530"/>
      <c r="V48" s="1531"/>
      <c r="W48" s="1528">
        <f>IFERROR((U48*U46+V48*V46)/W46,0)</f>
        <v>0</v>
      </c>
      <c r="X48" s="1584"/>
    </row>
    <row r="49" spans="2:24" ht="30">
      <c r="B49" s="1525" t="s">
        <v>527</v>
      </c>
      <c r="C49" s="1526" t="s">
        <v>1908</v>
      </c>
      <c r="D49" s="1527" t="s">
        <v>285</v>
      </c>
      <c r="E49" s="1530"/>
      <c r="F49" s="1531"/>
      <c r="G49" s="1528">
        <f>IFERROR((E49*E46+F49*F46)/G46,0)</f>
        <v>0</v>
      </c>
      <c r="H49" s="1530"/>
      <c r="I49" s="1531"/>
      <c r="J49" s="1528">
        <f>IFERROR((H49*H46+I49*I46)/J46,0)</f>
        <v>0</v>
      </c>
      <c r="K49" s="1530"/>
      <c r="L49" s="1531"/>
      <c r="M49" s="1528">
        <f>IFERROR((K49*K46+L49*L46)/M46,0)</f>
        <v>0</v>
      </c>
      <c r="N49" s="1563"/>
      <c r="O49" s="1530"/>
      <c r="P49" s="1531"/>
      <c r="Q49" s="1528">
        <f>IFERROR((O49*O46+P49*P46)/Q46,0)</f>
        <v>0</v>
      </c>
      <c r="R49" s="1530"/>
      <c r="S49" s="1531"/>
      <c r="T49" s="1528">
        <f>IFERROR((R49*R46+S49*S46)/T46,0)</f>
        <v>0</v>
      </c>
      <c r="U49" s="1530"/>
      <c r="V49" s="1531"/>
      <c r="W49" s="1528">
        <f>IFERROR((U49*U46+V49*V46)/W46,0)</f>
        <v>0</v>
      </c>
      <c r="X49" s="1584"/>
    </row>
    <row r="50" spans="2:24" ht="15.75" thickBot="1">
      <c r="B50" s="1532" t="s">
        <v>533</v>
      </c>
      <c r="C50" s="1533" t="s">
        <v>1909</v>
      </c>
      <c r="D50" s="1534" t="s">
        <v>285</v>
      </c>
      <c r="E50" s="1537"/>
      <c r="F50" s="1538"/>
      <c r="G50" s="1535">
        <f>IFERROR((E50*E46+F50*F46)/G46,0)</f>
        <v>0</v>
      </c>
      <c r="H50" s="1537"/>
      <c r="I50" s="1538"/>
      <c r="J50" s="1535">
        <f>IFERROR((H50*H46+I50*I46)/J46,0)</f>
        <v>0</v>
      </c>
      <c r="K50" s="1537"/>
      <c r="L50" s="1538"/>
      <c r="M50" s="1535">
        <f>IFERROR((K50*K46+L50*L46)/M46,0)</f>
        <v>0</v>
      </c>
      <c r="N50" s="1564"/>
      <c r="O50" s="1537"/>
      <c r="P50" s="1538"/>
      <c r="Q50" s="1535">
        <f>IFERROR((O50*O46+P50*P46)/Q46,0)</f>
        <v>0</v>
      </c>
      <c r="R50" s="1537"/>
      <c r="S50" s="1538"/>
      <c r="T50" s="1535">
        <f>IFERROR((R50*R46+S50*S46)/T46,0)</f>
        <v>0</v>
      </c>
      <c r="U50" s="1537"/>
      <c r="V50" s="1538"/>
      <c r="W50" s="1535">
        <f>IFERROR((U50*U46+V50*V46)/W46,0)</f>
        <v>0</v>
      </c>
      <c r="X50" s="1585"/>
    </row>
    <row r="51" spans="2:24" ht="32.25" thickBot="1">
      <c r="B51" s="1539" t="s">
        <v>239</v>
      </c>
      <c r="C51" s="1553" t="s">
        <v>1783</v>
      </c>
      <c r="D51" s="1541" t="s">
        <v>600</v>
      </c>
      <c r="E51" s="1539">
        <f>E47*E46</f>
        <v>0</v>
      </c>
      <c r="F51" s="1554">
        <f>F47*F46</f>
        <v>0</v>
      </c>
      <c r="G51" s="1555">
        <f>SUM(E51:F51)</f>
        <v>0</v>
      </c>
      <c r="H51" s="1539">
        <f>H47*H46</f>
        <v>0</v>
      </c>
      <c r="I51" s="1554">
        <f>I47*I46</f>
        <v>0</v>
      </c>
      <c r="J51" s="1555">
        <f>SUM(H51:I51)</f>
        <v>0</v>
      </c>
      <c r="K51" s="1539">
        <f>K47*K46</f>
        <v>0</v>
      </c>
      <c r="L51" s="1554">
        <f>L47*L46</f>
        <v>0</v>
      </c>
      <c r="M51" s="1555">
        <f>SUM(K51:L51)</f>
        <v>0</v>
      </c>
      <c r="N51" s="1566"/>
      <c r="O51" s="1539">
        <f>O47*O46</f>
        <v>0</v>
      </c>
      <c r="P51" s="1554">
        <f>P47*P46</f>
        <v>0</v>
      </c>
      <c r="Q51" s="1555">
        <f>SUM(O51:P51)</f>
        <v>0</v>
      </c>
      <c r="R51" s="1539">
        <f>R47*R46</f>
        <v>0</v>
      </c>
      <c r="S51" s="1554">
        <f>S47*S46</f>
        <v>0</v>
      </c>
      <c r="T51" s="1555">
        <f>SUM(R51:S51)</f>
        <v>0</v>
      </c>
      <c r="U51" s="1539">
        <f>U47*U46</f>
        <v>0</v>
      </c>
      <c r="V51" s="1554">
        <f>V47*V46</f>
        <v>0</v>
      </c>
      <c r="W51" s="1555">
        <f>SUM(U51:V51)</f>
        <v>0</v>
      </c>
      <c r="X51" s="1586"/>
    </row>
    <row r="52" spans="2:24" ht="15.75" thickBot="1">
      <c r="B52" s="1545"/>
      <c r="C52" s="1545"/>
      <c r="D52" s="1545"/>
      <c r="E52" s="1545"/>
      <c r="F52" s="1545"/>
      <c r="G52" s="1545"/>
      <c r="H52" s="1545"/>
      <c r="I52" s="1545"/>
      <c r="J52" s="1545"/>
      <c r="K52" s="1545"/>
      <c r="L52" s="1545"/>
      <c r="M52" s="1545"/>
      <c r="N52" s="1545"/>
      <c r="O52" s="1545"/>
      <c r="P52" s="1545"/>
      <c r="Q52" s="1545"/>
      <c r="R52" s="1545"/>
      <c r="S52" s="1545"/>
      <c r="T52" s="1545"/>
      <c r="U52" s="1545"/>
      <c r="V52" s="1545"/>
      <c r="W52" s="1545"/>
      <c r="X52" s="1545"/>
    </row>
    <row r="53" spans="2:24">
      <c r="B53" s="1546" t="s">
        <v>1911</v>
      </c>
      <c r="C53" s="1547"/>
      <c r="D53" s="1547"/>
      <c r="E53" s="1547"/>
      <c r="F53" s="1547"/>
      <c r="G53" s="1547"/>
      <c r="H53" s="1547"/>
      <c r="I53" s="1547"/>
      <c r="J53" s="1547"/>
      <c r="K53" s="1547"/>
      <c r="L53" s="1547"/>
      <c r="M53" s="1547"/>
      <c r="N53" s="1547"/>
      <c r="O53" s="1547"/>
      <c r="P53" s="1547"/>
      <c r="Q53" s="1547"/>
      <c r="R53" s="1547"/>
      <c r="S53" s="1547"/>
      <c r="T53" s="1547"/>
      <c r="U53" s="1547"/>
      <c r="V53" s="1547"/>
      <c r="W53" s="1547"/>
      <c r="X53" s="1557"/>
    </row>
    <row r="54" spans="2:24" s="1507" customFormat="1" ht="30">
      <c r="B54" s="1548" t="s">
        <v>234</v>
      </c>
      <c r="C54" s="1549" t="s">
        <v>1780</v>
      </c>
      <c r="D54" s="1550" t="s">
        <v>249</v>
      </c>
      <c r="E54" s="1512"/>
      <c r="F54" s="1513"/>
      <c r="G54" s="1551">
        <f>SUM(E54:F54)</f>
        <v>0</v>
      </c>
      <c r="H54" s="1512"/>
      <c r="I54" s="1513"/>
      <c r="J54" s="1551">
        <f>SUM(H54:I54)</f>
        <v>0</v>
      </c>
      <c r="K54" s="1512"/>
      <c r="L54" s="1513"/>
      <c r="M54" s="1551">
        <f>SUM(K54:L54)</f>
        <v>0</v>
      </c>
      <c r="N54" s="1560"/>
      <c r="O54" s="1512"/>
      <c r="P54" s="1513"/>
      <c r="Q54" s="1551">
        <f>SUM(O54:P54)</f>
        <v>0</v>
      </c>
      <c r="R54" s="1512"/>
      <c r="S54" s="1513"/>
      <c r="T54" s="1551">
        <f>SUM(R54:S54)</f>
        <v>0</v>
      </c>
      <c r="U54" s="1512"/>
      <c r="V54" s="1513"/>
      <c r="W54" s="1551">
        <f>SUM(U54:V54)</f>
        <v>0</v>
      </c>
      <c r="X54" s="1582"/>
    </row>
    <row r="55" spans="2:24" s="1519" customFormat="1" ht="31.5">
      <c r="B55" s="1520" t="s">
        <v>237</v>
      </c>
      <c r="C55" s="1521" t="s">
        <v>1782</v>
      </c>
      <c r="D55" s="1522" t="s">
        <v>285</v>
      </c>
      <c r="E55" s="1520">
        <f>SUM(E56:E58)</f>
        <v>0</v>
      </c>
      <c r="F55" s="1552">
        <f>SUM(F56:F58)</f>
        <v>0</v>
      </c>
      <c r="G55" s="1524">
        <f>IFERROR(G59/G54,0)</f>
        <v>0</v>
      </c>
      <c r="H55" s="1520">
        <f>SUM(H56:H58)</f>
        <v>0</v>
      </c>
      <c r="I55" s="1552">
        <f>SUM(I56:I58)</f>
        <v>0</v>
      </c>
      <c r="J55" s="1524">
        <f>IFERROR(J59/J54,0)</f>
        <v>0</v>
      </c>
      <c r="K55" s="1520">
        <f>SUM(K56:K58)</f>
        <v>0</v>
      </c>
      <c r="L55" s="1552">
        <f>SUM(L56:L58)</f>
        <v>0</v>
      </c>
      <c r="M55" s="1524">
        <f>IFERROR(M59/M54,0)</f>
        <v>0</v>
      </c>
      <c r="N55" s="1562"/>
      <c r="O55" s="1520">
        <f>SUM(O56:O58)</f>
        <v>0</v>
      </c>
      <c r="P55" s="1552">
        <f>SUM(P56:P58)</f>
        <v>0</v>
      </c>
      <c r="Q55" s="1524">
        <f>IFERROR(Q59/Q54,0)</f>
        <v>0</v>
      </c>
      <c r="R55" s="1520">
        <f>SUM(R56:R58)</f>
        <v>0</v>
      </c>
      <c r="S55" s="1552">
        <f>SUM(S56:S58)</f>
        <v>0</v>
      </c>
      <c r="T55" s="1524">
        <f>IFERROR(T59/T54,0)</f>
        <v>0</v>
      </c>
      <c r="U55" s="1520">
        <f>SUM(U56:U58)</f>
        <v>0</v>
      </c>
      <c r="V55" s="1552">
        <f>SUM(V56:V58)</f>
        <v>0</v>
      </c>
      <c r="W55" s="1524">
        <f>IFERROR(W59/W54,0)</f>
        <v>0</v>
      </c>
      <c r="X55" s="1583"/>
    </row>
    <row r="56" spans="2:24" ht="30">
      <c r="B56" s="1525" t="s">
        <v>520</v>
      </c>
      <c r="C56" s="1526" t="s">
        <v>1907</v>
      </c>
      <c r="D56" s="1527" t="s">
        <v>285</v>
      </c>
      <c r="E56" s="1530"/>
      <c r="F56" s="1531"/>
      <c r="G56" s="1528">
        <f>IFERROR((E56*E54+F56*F54)/G54,0)</f>
        <v>0</v>
      </c>
      <c r="H56" s="1530"/>
      <c r="I56" s="1531"/>
      <c r="J56" s="1528">
        <f>IFERROR((H56*H54+I56*I54)/J54,0)</f>
        <v>0</v>
      </c>
      <c r="K56" s="1530"/>
      <c r="L56" s="1531"/>
      <c r="M56" s="1528">
        <f>IFERROR((K56*K54+L56*L54)/M54,0)</f>
        <v>0</v>
      </c>
      <c r="N56" s="1563"/>
      <c r="O56" s="1530"/>
      <c r="P56" s="1531"/>
      <c r="Q56" s="1528">
        <f>IFERROR((O56*O54+P56*P54)/Q54,0)</f>
        <v>0</v>
      </c>
      <c r="R56" s="1530"/>
      <c r="S56" s="1531"/>
      <c r="T56" s="1528">
        <f>IFERROR((R56*R54+S56*S54)/T54,0)</f>
        <v>0</v>
      </c>
      <c r="U56" s="1530"/>
      <c r="V56" s="1531"/>
      <c r="W56" s="1528">
        <f>IFERROR((U56*U54+V56*V54)/W54,0)</f>
        <v>0</v>
      </c>
      <c r="X56" s="1584"/>
    </row>
    <row r="57" spans="2:24" ht="30">
      <c r="B57" s="1525" t="s">
        <v>527</v>
      </c>
      <c r="C57" s="1526" t="s">
        <v>1908</v>
      </c>
      <c r="D57" s="1527" t="s">
        <v>285</v>
      </c>
      <c r="E57" s="1530"/>
      <c r="F57" s="1531"/>
      <c r="G57" s="1528">
        <f>IFERROR((E57*E54+F57*F54)/G54,0)</f>
        <v>0</v>
      </c>
      <c r="H57" s="1530"/>
      <c r="I57" s="1531"/>
      <c r="J57" s="1528">
        <f>IFERROR((H57*H54+I57*I54)/J54,0)</f>
        <v>0</v>
      </c>
      <c r="K57" s="1530"/>
      <c r="L57" s="1531"/>
      <c r="M57" s="1528">
        <f>IFERROR((K57*K54+L57*L54)/M54,0)</f>
        <v>0</v>
      </c>
      <c r="N57" s="1563"/>
      <c r="O57" s="1530"/>
      <c r="P57" s="1531"/>
      <c r="Q57" s="1528">
        <f>IFERROR((O57*O54+P57*P54)/Q54,0)</f>
        <v>0</v>
      </c>
      <c r="R57" s="1530"/>
      <c r="S57" s="1531"/>
      <c r="T57" s="1528">
        <f>IFERROR((R57*R54+S57*S54)/T54,0)</f>
        <v>0</v>
      </c>
      <c r="U57" s="1530"/>
      <c r="V57" s="1531"/>
      <c r="W57" s="1528">
        <f>IFERROR((U57*U54+V57*V54)/W54,0)</f>
        <v>0</v>
      </c>
      <c r="X57" s="1584"/>
    </row>
    <row r="58" spans="2:24" ht="15.75" thickBot="1">
      <c r="B58" s="1532" t="s">
        <v>533</v>
      </c>
      <c r="C58" s="1533" t="s">
        <v>1909</v>
      </c>
      <c r="D58" s="1534" t="s">
        <v>285</v>
      </c>
      <c r="E58" s="1537"/>
      <c r="F58" s="1538"/>
      <c r="G58" s="1535">
        <f>IFERROR((E58*E54+F58*F54)/G54,0)</f>
        <v>0</v>
      </c>
      <c r="H58" s="1537"/>
      <c r="I58" s="1538"/>
      <c r="J58" s="1535">
        <f>IFERROR((H58*H54+I58*I54)/J54,0)</f>
        <v>0</v>
      </c>
      <c r="K58" s="1537"/>
      <c r="L58" s="1538"/>
      <c r="M58" s="1535">
        <f>IFERROR((K58*K54+L58*L54)/M54,0)</f>
        <v>0</v>
      </c>
      <c r="N58" s="1564"/>
      <c r="O58" s="1537"/>
      <c r="P58" s="1538"/>
      <c r="Q58" s="1535">
        <f>IFERROR((O58*O54+P58*P54)/Q54,0)</f>
        <v>0</v>
      </c>
      <c r="R58" s="1537"/>
      <c r="S58" s="1538"/>
      <c r="T58" s="1535">
        <f>IFERROR((R58*R54+S58*S54)/T54,0)</f>
        <v>0</v>
      </c>
      <c r="U58" s="1537"/>
      <c r="V58" s="1538"/>
      <c r="W58" s="1535">
        <f>IFERROR((U58*U54+V58*V54)/W54,0)</f>
        <v>0</v>
      </c>
      <c r="X58" s="1585"/>
    </row>
    <row r="59" spans="2:24" ht="32.25" thickBot="1">
      <c r="B59" s="1539" t="s">
        <v>239</v>
      </c>
      <c r="C59" s="1553" t="s">
        <v>1783</v>
      </c>
      <c r="D59" s="1541" t="s">
        <v>600</v>
      </c>
      <c r="E59" s="1539">
        <f>E55*E54</f>
        <v>0</v>
      </c>
      <c r="F59" s="1554">
        <f>F55*F54</f>
        <v>0</v>
      </c>
      <c r="G59" s="1555">
        <f>SUM(E59:F59)</f>
        <v>0</v>
      </c>
      <c r="H59" s="1539">
        <f>H55*H54</f>
        <v>0</v>
      </c>
      <c r="I59" s="1554">
        <f>I55*I54</f>
        <v>0</v>
      </c>
      <c r="J59" s="1555">
        <f>SUM(H59:I59)</f>
        <v>0</v>
      </c>
      <c r="K59" s="1539">
        <f>K55*K54</f>
        <v>0</v>
      </c>
      <c r="L59" s="1554">
        <f>L55*L54</f>
        <v>0</v>
      </c>
      <c r="M59" s="1555">
        <f>SUM(K59:L59)</f>
        <v>0</v>
      </c>
      <c r="N59" s="1566"/>
      <c r="O59" s="1539">
        <f>O55*O54</f>
        <v>0</v>
      </c>
      <c r="P59" s="1554">
        <f>P55*P54</f>
        <v>0</v>
      </c>
      <c r="Q59" s="1555">
        <f>SUM(O59:P59)</f>
        <v>0</v>
      </c>
      <c r="R59" s="1539">
        <f>R55*R54</f>
        <v>0</v>
      </c>
      <c r="S59" s="1554">
        <f>S55*S54</f>
        <v>0</v>
      </c>
      <c r="T59" s="1555">
        <f>SUM(R59:S59)</f>
        <v>0</v>
      </c>
      <c r="U59" s="1539">
        <f>U55*U54</f>
        <v>0</v>
      </c>
      <c r="V59" s="1554">
        <f>V55*V54</f>
        <v>0</v>
      </c>
      <c r="W59" s="1555">
        <f>SUM(U59:V59)</f>
        <v>0</v>
      </c>
      <c r="X59" s="1586"/>
    </row>
    <row r="60" spans="2:24">
      <c r="E60" s="1556"/>
      <c r="F60" s="1556"/>
      <c r="G60" s="1556"/>
      <c r="H60" s="1556"/>
      <c r="I60" s="1556"/>
      <c r="J60" s="1556"/>
      <c r="K60" s="1556"/>
      <c r="L60" s="1556"/>
      <c r="M60" s="1556"/>
      <c r="N60" s="1556"/>
      <c r="O60" s="1556"/>
    </row>
    <row r="61" spans="2:24" ht="15.75">
      <c r="E61" s="1519"/>
      <c r="F61" s="1519"/>
      <c r="G61" s="1519"/>
      <c r="H61" s="1519"/>
      <c r="I61" s="1519"/>
      <c r="J61" s="1519"/>
      <c r="K61" s="1519"/>
      <c r="L61" s="1519"/>
      <c r="M61" s="1519"/>
      <c r="N61" s="1519"/>
    </row>
    <row r="62" spans="2:24" ht="15.75">
      <c r="E62" s="1519"/>
      <c r="F62" s="1519"/>
      <c r="G62" s="1519"/>
      <c r="H62" s="1519"/>
      <c r="I62" s="1519"/>
      <c r="J62" s="1519"/>
      <c r="K62" s="1519"/>
      <c r="L62" s="1519"/>
      <c r="M62" s="1519"/>
      <c r="N62" s="1519"/>
    </row>
    <row r="63" spans="2:24" ht="15.75">
      <c r="E63" s="1519"/>
      <c r="F63" s="1519"/>
      <c r="G63" s="1519"/>
      <c r="H63" s="1519"/>
      <c r="I63" s="1519"/>
      <c r="J63" s="1519"/>
      <c r="K63" s="1519"/>
      <c r="L63" s="1519"/>
      <c r="M63" s="1519"/>
      <c r="N63" s="1519"/>
    </row>
  </sheetData>
  <mergeCells count="24">
    <mergeCell ref="K19:M19"/>
    <mergeCell ref="H6:M6"/>
    <mergeCell ref="E6:G6"/>
    <mergeCell ref="B6:B8"/>
    <mergeCell ref="C6:C8"/>
    <mergeCell ref="D6:D8"/>
    <mergeCell ref="H7:J7"/>
    <mergeCell ref="B19:D19"/>
    <mergeCell ref="E19:G19"/>
    <mergeCell ref="B10:B11"/>
    <mergeCell ref="C10:C11"/>
    <mergeCell ref="H19:J19"/>
    <mergeCell ref="E5:G5"/>
    <mergeCell ref="E4:X4"/>
    <mergeCell ref="K5:M5"/>
    <mergeCell ref="X6:X8"/>
    <mergeCell ref="U7:W7"/>
    <mergeCell ref="E7:G7"/>
    <mergeCell ref="O7:Q7"/>
    <mergeCell ref="R7:T7"/>
    <mergeCell ref="O6:Q6"/>
    <mergeCell ref="R6:W6"/>
    <mergeCell ref="N6:N8"/>
    <mergeCell ref="K7:M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0" sqref="E40"/>
    </sheetView>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CR59"/>
  <sheetViews>
    <sheetView zoomScale="70" zoomScaleNormal="70" workbookViewId="0">
      <selection activeCell="DA20" sqref="DA20"/>
    </sheetView>
  </sheetViews>
  <sheetFormatPr defaultRowHeight="15" outlineLevelCol="1"/>
  <cols>
    <col min="1" max="1" width="2.7109375" style="1490" customWidth="1"/>
    <col min="2" max="2" width="5.7109375" style="1490" customWidth="1"/>
    <col min="3" max="3" width="50.7109375" style="1490" customWidth="1"/>
    <col min="4" max="19" width="11.7109375" style="1490" customWidth="1"/>
    <col min="20" max="20" width="2.7109375" style="1490" customWidth="1"/>
    <col min="21" max="21" width="5.7109375" style="1490" customWidth="1"/>
    <col min="22" max="22" width="50.7109375" style="1490" customWidth="1"/>
    <col min="23" max="38" width="11.7109375" style="1490" customWidth="1"/>
    <col min="39" max="39" width="2.7109375" style="1490" customWidth="1"/>
    <col min="40" max="40" width="5.7109375" style="1490" customWidth="1"/>
    <col min="41" max="41" width="50.7109375" style="1490" customWidth="1"/>
    <col min="42" max="57" width="11.7109375" style="1490" customWidth="1"/>
    <col min="58" max="58" width="2.7109375" style="1490" customWidth="1"/>
    <col min="59" max="59" width="5.7109375" style="1490" customWidth="1"/>
    <col min="60" max="60" width="50.7109375" style="1490" customWidth="1"/>
    <col min="61" max="76" width="11.7109375" style="1490" customWidth="1"/>
    <col min="77" max="77" width="2.7109375" style="1490" customWidth="1"/>
    <col min="78" max="78" width="5.7109375" style="1490" hidden="1" customWidth="1" outlineLevel="1"/>
    <col min="79" max="79" width="50.7109375" style="1490" hidden="1" customWidth="1" outlineLevel="1"/>
    <col min="80" max="95" width="11.7109375" style="1490" hidden="1" customWidth="1" outlineLevel="1"/>
    <col min="96" max="96" width="9.140625" style="1490" collapsed="1"/>
    <col min="97" max="16384" width="9.140625" style="1490"/>
  </cols>
  <sheetData>
    <row r="1" spans="1:95" ht="26.25">
      <c r="A1" s="1489"/>
      <c r="B1" s="1757" t="s">
        <v>1330</v>
      </c>
      <c r="U1" s="1757" t="s">
        <v>1290</v>
      </c>
      <c r="AN1" s="1757"/>
      <c r="BF1" s="1489"/>
      <c r="BG1" s="1757" t="s">
        <v>1330</v>
      </c>
      <c r="BZ1" s="1757" t="s">
        <v>1290</v>
      </c>
    </row>
    <row r="2" spans="1:95">
      <c r="A2" s="1489"/>
      <c r="BF2" s="1489"/>
    </row>
    <row r="3" spans="1:95" ht="20.25">
      <c r="A3" s="1489"/>
      <c r="E3" s="2188" t="s">
        <v>2021</v>
      </c>
      <c r="F3" s="2188"/>
      <c r="G3" s="2188"/>
      <c r="H3" s="2188"/>
      <c r="I3" s="2188"/>
      <c r="J3" s="2188"/>
      <c r="K3" s="2188"/>
      <c r="L3" s="2188"/>
      <c r="M3" s="2188"/>
      <c r="N3" s="2188"/>
      <c r="O3" s="2188"/>
      <c r="P3" s="2188"/>
      <c r="Q3" s="2188"/>
      <c r="R3" s="2188"/>
      <c r="S3" s="2188"/>
      <c r="X3" s="2188" t="s">
        <v>2021</v>
      </c>
      <c r="Y3" s="2188"/>
      <c r="Z3" s="2188"/>
      <c r="AA3" s="2188"/>
      <c r="AB3" s="2188"/>
      <c r="AC3" s="2188"/>
      <c r="AD3" s="2188"/>
      <c r="AE3" s="2188"/>
      <c r="AF3" s="2188"/>
      <c r="AG3" s="2188"/>
      <c r="AH3" s="2188"/>
      <c r="AI3" s="2188"/>
      <c r="AJ3" s="2188"/>
      <c r="AK3" s="2188"/>
      <c r="AL3" s="2188"/>
      <c r="AQ3" s="2188" t="s">
        <v>2021</v>
      </c>
      <c r="AR3" s="2188"/>
      <c r="AS3" s="2188"/>
      <c r="AT3" s="2188"/>
      <c r="AU3" s="2188"/>
      <c r="AV3" s="2188"/>
      <c r="AW3" s="2188"/>
      <c r="AX3" s="2188"/>
      <c r="AY3" s="2188"/>
      <c r="AZ3" s="2188"/>
      <c r="BA3" s="2188"/>
      <c r="BB3" s="2188"/>
      <c r="BC3" s="2188"/>
      <c r="BD3" s="2188"/>
      <c r="BE3" s="2188"/>
      <c r="BF3" s="1489"/>
      <c r="BJ3" s="2188" t="s">
        <v>2021</v>
      </c>
      <c r="BK3" s="2188"/>
      <c r="BL3" s="2188"/>
      <c r="BM3" s="2188"/>
      <c r="BN3" s="2188"/>
      <c r="BO3" s="2188"/>
      <c r="BP3" s="2188"/>
      <c r="BQ3" s="2188"/>
      <c r="BR3" s="2188"/>
      <c r="BS3" s="2188"/>
      <c r="BT3" s="2188"/>
      <c r="BU3" s="2188"/>
      <c r="BV3" s="2188"/>
      <c r="BW3" s="2188"/>
      <c r="BX3" s="2188"/>
      <c r="CC3" s="2188" t="s">
        <v>2021</v>
      </c>
      <c r="CD3" s="2188"/>
      <c r="CE3" s="2188"/>
      <c r="CF3" s="2188"/>
      <c r="CG3" s="2188"/>
      <c r="CH3" s="2188"/>
      <c r="CI3" s="2188"/>
      <c r="CJ3" s="2188"/>
      <c r="CK3" s="2188"/>
      <c r="CL3" s="2188"/>
      <c r="CM3" s="2188"/>
      <c r="CN3" s="2188"/>
      <c r="CO3" s="2188"/>
      <c r="CP3" s="2188"/>
      <c r="CQ3" s="2188"/>
    </row>
    <row r="4" spans="1:95" ht="20.25">
      <c r="A4" s="1489"/>
      <c r="E4" s="2188">
        <f>'0. Анкета'!C7</f>
        <v>0</v>
      </c>
      <c r="F4" s="2188"/>
      <c r="G4" s="2188"/>
      <c r="H4" s="2188"/>
      <c r="I4" s="2188"/>
      <c r="J4" s="2188"/>
      <c r="K4" s="2188"/>
      <c r="L4" s="2188"/>
      <c r="M4" s="2188"/>
      <c r="N4" s="2188"/>
      <c r="O4" s="2188"/>
      <c r="P4" s="2188"/>
      <c r="Q4" s="2188"/>
      <c r="R4" s="2188"/>
      <c r="S4" s="2188"/>
      <c r="X4" s="2188">
        <f>'0. Анкета'!C7</f>
        <v>0</v>
      </c>
      <c r="Y4" s="2188"/>
      <c r="Z4" s="2188"/>
      <c r="AA4" s="2188"/>
      <c r="AB4" s="2188"/>
      <c r="AC4" s="2188"/>
      <c r="AD4" s="2188"/>
      <c r="AE4" s="2188"/>
      <c r="AF4" s="2188"/>
      <c r="AG4" s="2188"/>
      <c r="AH4" s="2188"/>
      <c r="AI4" s="2188"/>
      <c r="AJ4" s="2188"/>
      <c r="AK4" s="2188"/>
      <c r="AL4" s="2188"/>
      <c r="AQ4" s="2188">
        <f>'0. Анкета'!C7</f>
        <v>0</v>
      </c>
      <c r="AR4" s="2188"/>
      <c r="AS4" s="2188"/>
      <c r="AT4" s="2188"/>
      <c r="AU4" s="2188"/>
      <c r="AV4" s="2188"/>
      <c r="AW4" s="2188"/>
      <c r="AX4" s="2188"/>
      <c r="AY4" s="2188"/>
      <c r="AZ4" s="2188"/>
      <c r="BA4" s="2188"/>
      <c r="BB4" s="2188"/>
      <c r="BC4" s="2188"/>
      <c r="BD4" s="2188"/>
      <c r="BE4" s="2188"/>
      <c r="BF4" s="1489"/>
      <c r="BJ4" s="2188">
        <f>'0. Анкета'!C7</f>
        <v>0</v>
      </c>
      <c r="BK4" s="2188"/>
      <c r="BL4" s="2188"/>
      <c r="BM4" s="2188"/>
      <c r="BN4" s="2188"/>
      <c r="BO4" s="2188"/>
      <c r="BP4" s="2188"/>
      <c r="BQ4" s="2188"/>
      <c r="BR4" s="2188"/>
      <c r="BS4" s="2188"/>
      <c r="BT4" s="2188"/>
      <c r="BU4" s="2188"/>
      <c r="BV4" s="2188"/>
      <c r="BW4" s="2188"/>
      <c r="BX4" s="2188"/>
      <c r="CC4" s="2188">
        <f>'0. Анкета'!C7</f>
        <v>0</v>
      </c>
      <c r="CD4" s="2188"/>
      <c r="CE4" s="2188"/>
      <c r="CF4" s="2188"/>
      <c r="CG4" s="2188"/>
      <c r="CH4" s="2188"/>
      <c r="CI4" s="2188"/>
      <c r="CJ4" s="2188"/>
      <c r="CK4" s="2188"/>
      <c r="CL4" s="2188"/>
      <c r="CM4" s="2188"/>
      <c r="CN4" s="2188"/>
      <c r="CO4" s="2188"/>
      <c r="CP4" s="2188"/>
      <c r="CQ4" s="2188"/>
    </row>
    <row r="5" spans="1:95" ht="18.75" thickBot="1">
      <c r="B5" s="1492">
        <f>'0. Анкета'!C7</f>
        <v>0</v>
      </c>
      <c r="U5" s="1492">
        <f>'0. Анкета'!C7</f>
        <v>0</v>
      </c>
      <c r="AN5" s="1492">
        <f>'0. Анкета'!C7</f>
        <v>0</v>
      </c>
      <c r="BG5" s="1492">
        <f>'0. Анкета'!C7</f>
        <v>0</v>
      </c>
      <c r="BZ5" s="1492">
        <f>'0. Анкета'!C7</f>
        <v>0</v>
      </c>
    </row>
    <row r="6" spans="1:95" ht="15.75" customHeight="1">
      <c r="A6" s="1685"/>
      <c r="B6" s="2191" t="s">
        <v>12</v>
      </c>
      <c r="C6" s="2189" t="s">
        <v>261</v>
      </c>
      <c r="D6" s="2180" t="s">
        <v>262</v>
      </c>
      <c r="E6" s="2182" t="str">
        <f>"I полугодие "&amp;'0. Анкета'!C15-2&amp;" года (Факт)"</f>
        <v>I полугодие 2022 года (Факт)</v>
      </c>
      <c r="F6" s="2183"/>
      <c r="G6" s="2183"/>
      <c r="H6" s="2183"/>
      <c r="I6" s="2184"/>
      <c r="J6" s="2182" t="str">
        <f>"II полугодие "&amp;'0. Анкета'!C15-2&amp;" года (Факт)"</f>
        <v>II полугодие 2022 года (Факт)</v>
      </c>
      <c r="K6" s="2183"/>
      <c r="L6" s="2183"/>
      <c r="M6" s="2183"/>
      <c r="N6" s="2184"/>
      <c r="O6" s="2182" t="str">
        <f>'0. Анкета'!C15-2&amp;" год (Факт)"</f>
        <v>2022 год (Факт)</v>
      </c>
      <c r="P6" s="2183"/>
      <c r="Q6" s="2183"/>
      <c r="R6" s="2183"/>
      <c r="S6" s="2184"/>
      <c r="T6" s="1686"/>
      <c r="U6" s="2191" t="s">
        <v>12</v>
      </c>
      <c r="V6" s="2189" t="s">
        <v>261</v>
      </c>
      <c r="W6" s="2180" t="s">
        <v>262</v>
      </c>
      <c r="X6" s="2182" t="str">
        <f>"I полугодие "&amp;'0. Анкета'!C15-2&amp;" года (Факт)"</f>
        <v>I полугодие 2022 года (Факт)</v>
      </c>
      <c r="Y6" s="2183"/>
      <c r="Z6" s="2183"/>
      <c r="AA6" s="2183"/>
      <c r="AB6" s="2184"/>
      <c r="AC6" s="2182" t="str">
        <f>"II полугодие "&amp;'0. Анкета'!C15-2&amp;" года (Факт)"</f>
        <v>II полугодие 2022 года (Факт)</v>
      </c>
      <c r="AD6" s="2183"/>
      <c r="AE6" s="2183"/>
      <c r="AF6" s="2183"/>
      <c r="AG6" s="2184"/>
      <c r="AH6" s="2182" t="str">
        <f>'0. Анкета'!C15-2&amp;" год (Факт)"</f>
        <v>2022 год (Факт)</v>
      </c>
      <c r="AI6" s="2183"/>
      <c r="AJ6" s="2183"/>
      <c r="AK6" s="2183"/>
      <c r="AL6" s="2184"/>
      <c r="AM6" s="1686"/>
      <c r="AN6" s="2191" t="s">
        <v>12</v>
      </c>
      <c r="AO6" s="2189" t="s">
        <v>261</v>
      </c>
      <c r="AP6" s="2180" t="s">
        <v>262</v>
      </c>
      <c r="AQ6" s="2182" t="str">
        <f>"I полугодие "&amp;'0. Анкета'!C15-1&amp;" года (Тарифно-балансовое решение)"</f>
        <v>I полугодие 2023 года (Тарифно-балансовое решение)</v>
      </c>
      <c r="AR6" s="2183"/>
      <c r="AS6" s="2183"/>
      <c r="AT6" s="2183"/>
      <c r="AU6" s="2184"/>
      <c r="AV6" s="2182" t="str">
        <f>"II полугодие "&amp;'0. Анкета'!C15-1&amp;" года (Тарифно-балансовое решение)"</f>
        <v>II полугодие 2023 года (Тарифно-балансовое решение)</v>
      </c>
      <c r="AW6" s="2183"/>
      <c r="AX6" s="2183"/>
      <c r="AY6" s="2183"/>
      <c r="AZ6" s="2184"/>
      <c r="BA6" s="2182" t="str">
        <f>'0. Анкета'!C15-1&amp;" год (Тарифно-балансовое решение)"</f>
        <v>2023 год (Тарифно-балансовое решение)</v>
      </c>
      <c r="BB6" s="2183"/>
      <c r="BC6" s="2183"/>
      <c r="BD6" s="2183"/>
      <c r="BE6" s="2184"/>
      <c r="BF6" s="1685"/>
      <c r="BG6" s="2191" t="s">
        <v>12</v>
      </c>
      <c r="BH6" s="2189" t="s">
        <v>261</v>
      </c>
      <c r="BI6" s="2180" t="s">
        <v>262</v>
      </c>
      <c r="BJ6" s="2182" t="str">
        <f>"I полугодие "&amp;'0. Анкета'!C15&amp;" года (Предложение Организации)"</f>
        <v>I полугодие 2024 года (Предложение Организации)</v>
      </c>
      <c r="BK6" s="2183"/>
      <c r="BL6" s="2183"/>
      <c r="BM6" s="2183"/>
      <c r="BN6" s="2184"/>
      <c r="BO6" s="2182" t="str">
        <f>"II полугодие "&amp;'0. Анкета'!C15&amp;" года (Предложение Организации)"</f>
        <v>II полугодие 2024 года (Предложение Организации)</v>
      </c>
      <c r="BP6" s="2183"/>
      <c r="BQ6" s="2183"/>
      <c r="BR6" s="2183"/>
      <c r="BS6" s="2184"/>
      <c r="BT6" s="2183" t="str">
        <f>'0. Анкета'!C15&amp;" год (Предложение Организации)"</f>
        <v>2024 год (Предложение Организации)</v>
      </c>
      <c r="BU6" s="2183"/>
      <c r="BV6" s="2183"/>
      <c r="BW6" s="2183"/>
      <c r="BX6" s="2184"/>
      <c r="BY6" s="1686"/>
      <c r="BZ6" s="2191" t="s">
        <v>12</v>
      </c>
      <c r="CA6" s="2189" t="s">
        <v>261</v>
      </c>
      <c r="CB6" s="2180" t="s">
        <v>262</v>
      </c>
      <c r="CC6" s="2182" t="str">
        <f>"I полугодие "&amp;'0. Анкета'!C15&amp;" года (Согласовано Экспертами)"</f>
        <v>I полугодие 2024 года (Согласовано Экспертами)</v>
      </c>
      <c r="CD6" s="2183"/>
      <c r="CE6" s="2183"/>
      <c r="CF6" s="2183"/>
      <c r="CG6" s="2184"/>
      <c r="CH6" s="2182" t="str">
        <f>"II полугодие "&amp;'0. Анкета'!C15&amp;" года (Согласовано Экспертами)"</f>
        <v>II полугодие 2024 года (Согласовано Экспертами)</v>
      </c>
      <c r="CI6" s="2183"/>
      <c r="CJ6" s="2183"/>
      <c r="CK6" s="2183"/>
      <c r="CL6" s="2184"/>
      <c r="CM6" s="2182" t="str">
        <f>'0. Анкета'!C15&amp;" год (Согласовано Экспертами)"</f>
        <v>2024 год (Согласовано Экспертами)</v>
      </c>
      <c r="CN6" s="2183"/>
      <c r="CO6" s="2183"/>
      <c r="CP6" s="2183"/>
      <c r="CQ6" s="2184"/>
    </row>
    <row r="7" spans="1:95" ht="16.5" thickBot="1">
      <c r="A7" s="1685"/>
      <c r="B7" s="2193"/>
      <c r="C7" s="2194"/>
      <c r="D7" s="2195"/>
      <c r="E7" s="1494" t="s">
        <v>2025</v>
      </c>
      <c r="F7" s="1612" t="s">
        <v>168</v>
      </c>
      <c r="G7" s="1612" t="s">
        <v>208</v>
      </c>
      <c r="H7" s="1612" t="s">
        <v>209</v>
      </c>
      <c r="I7" s="1613" t="s">
        <v>171</v>
      </c>
      <c r="J7" s="1494" t="s">
        <v>2025</v>
      </c>
      <c r="K7" s="1612" t="s">
        <v>168</v>
      </c>
      <c r="L7" s="1612" t="s">
        <v>208</v>
      </c>
      <c r="M7" s="1612" t="s">
        <v>209</v>
      </c>
      <c r="N7" s="1613" t="s">
        <v>171</v>
      </c>
      <c r="O7" s="1611" t="s">
        <v>2025</v>
      </c>
      <c r="P7" s="1612" t="s">
        <v>168</v>
      </c>
      <c r="Q7" s="1612" t="s">
        <v>208</v>
      </c>
      <c r="R7" s="1612" t="s">
        <v>209</v>
      </c>
      <c r="S7" s="1613" t="s">
        <v>171</v>
      </c>
      <c r="T7" s="1686"/>
      <c r="U7" s="2193"/>
      <c r="V7" s="2194"/>
      <c r="W7" s="2195"/>
      <c r="X7" s="1494" t="s">
        <v>2025</v>
      </c>
      <c r="Y7" s="1612" t="s">
        <v>168</v>
      </c>
      <c r="Z7" s="1612" t="s">
        <v>208</v>
      </c>
      <c r="AA7" s="1612" t="s">
        <v>209</v>
      </c>
      <c r="AB7" s="1613" t="s">
        <v>171</v>
      </c>
      <c r="AC7" s="1494" t="s">
        <v>2025</v>
      </c>
      <c r="AD7" s="1612" t="s">
        <v>168</v>
      </c>
      <c r="AE7" s="1612" t="s">
        <v>208</v>
      </c>
      <c r="AF7" s="1612" t="s">
        <v>209</v>
      </c>
      <c r="AG7" s="1613" t="s">
        <v>171</v>
      </c>
      <c r="AH7" s="1611" t="s">
        <v>2025</v>
      </c>
      <c r="AI7" s="1612" t="s">
        <v>168</v>
      </c>
      <c r="AJ7" s="1612" t="s">
        <v>208</v>
      </c>
      <c r="AK7" s="1612" t="s">
        <v>209</v>
      </c>
      <c r="AL7" s="1613" t="s">
        <v>171</v>
      </c>
      <c r="AM7" s="1686"/>
      <c r="AN7" s="2193"/>
      <c r="AO7" s="2194"/>
      <c r="AP7" s="2195"/>
      <c r="AQ7" s="1494" t="s">
        <v>2025</v>
      </c>
      <c r="AR7" s="1612" t="s">
        <v>168</v>
      </c>
      <c r="AS7" s="1612" t="s">
        <v>208</v>
      </c>
      <c r="AT7" s="1612" t="s">
        <v>209</v>
      </c>
      <c r="AU7" s="1613" t="s">
        <v>171</v>
      </c>
      <c r="AV7" s="1494" t="s">
        <v>2025</v>
      </c>
      <c r="AW7" s="1612" t="s">
        <v>168</v>
      </c>
      <c r="AX7" s="1612" t="s">
        <v>208</v>
      </c>
      <c r="AY7" s="1612" t="s">
        <v>209</v>
      </c>
      <c r="AZ7" s="1613" t="s">
        <v>171</v>
      </c>
      <c r="BA7" s="1611" t="s">
        <v>2025</v>
      </c>
      <c r="BB7" s="1612" t="s">
        <v>168</v>
      </c>
      <c r="BC7" s="1612" t="s">
        <v>208</v>
      </c>
      <c r="BD7" s="1612" t="s">
        <v>209</v>
      </c>
      <c r="BE7" s="1613" t="s">
        <v>171</v>
      </c>
      <c r="BF7" s="1685"/>
      <c r="BG7" s="2193"/>
      <c r="BH7" s="2194"/>
      <c r="BI7" s="2195"/>
      <c r="BJ7" s="1494" t="s">
        <v>2025</v>
      </c>
      <c r="BK7" s="1612" t="s">
        <v>168</v>
      </c>
      <c r="BL7" s="1612" t="s">
        <v>208</v>
      </c>
      <c r="BM7" s="1612" t="s">
        <v>209</v>
      </c>
      <c r="BN7" s="1613" t="s">
        <v>171</v>
      </c>
      <c r="BO7" s="1494" t="s">
        <v>2025</v>
      </c>
      <c r="BP7" s="1612" t="s">
        <v>168</v>
      </c>
      <c r="BQ7" s="1612" t="s">
        <v>208</v>
      </c>
      <c r="BR7" s="1612" t="s">
        <v>209</v>
      </c>
      <c r="BS7" s="1613" t="s">
        <v>171</v>
      </c>
      <c r="BT7" s="1611" t="s">
        <v>2025</v>
      </c>
      <c r="BU7" s="1612" t="s">
        <v>168</v>
      </c>
      <c r="BV7" s="1612" t="s">
        <v>208</v>
      </c>
      <c r="BW7" s="1612" t="s">
        <v>209</v>
      </c>
      <c r="BX7" s="1613" t="s">
        <v>171</v>
      </c>
      <c r="BY7" s="1686"/>
      <c r="BZ7" s="2193"/>
      <c r="CA7" s="2194"/>
      <c r="CB7" s="2195"/>
      <c r="CC7" s="1494" t="s">
        <v>2025</v>
      </c>
      <c r="CD7" s="1612" t="s">
        <v>168</v>
      </c>
      <c r="CE7" s="1612" t="s">
        <v>208</v>
      </c>
      <c r="CF7" s="1612" t="s">
        <v>209</v>
      </c>
      <c r="CG7" s="1613" t="s">
        <v>171</v>
      </c>
      <c r="CH7" s="1494" t="s">
        <v>2025</v>
      </c>
      <c r="CI7" s="1612" t="s">
        <v>168</v>
      </c>
      <c r="CJ7" s="1612" t="s">
        <v>208</v>
      </c>
      <c r="CK7" s="1612" t="s">
        <v>209</v>
      </c>
      <c r="CL7" s="1613" t="s">
        <v>171</v>
      </c>
      <c r="CM7" s="1611" t="s">
        <v>2025</v>
      </c>
      <c r="CN7" s="1612" t="s">
        <v>168</v>
      </c>
      <c r="CO7" s="1612" t="s">
        <v>208</v>
      </c>
      <c r="CP7" s="1612" t="s">
        <v>209</v>
      </c>
      <c r="CQ7" s="1613" t="s">
        <v>171</v>
      </c>
    </row>
    <row r="8" spans="1:95" s="1519" customFormat="1" ht="15.75">
      <c r="A8" s="1687"/>
      <c r="B8" s="1688" t="s">
        <v>234</v>
      </c>
      <c r="C8" s="1689" t="s">
        <v>2026</v>
      </c>
      <c r="D8" s="1690" t="s">
        <v>249</v>
      </c>
      <c r="E8" s="1691">
        <f>E10+E14+E15+E16</f>
        <v>0</v>
      </c>
      <c r="F8" s="1692">
        <f>F9+F14+F15+F16</f>
        <v>0</v>
      </c>
      <c r="G8" s="1692">
        <f t="shared" ref="G8:I8" si="0">G9+G14+G15+G16</f>
        <v>0</v>
      </c>
      <c r="H8" s="1692">
        <f t="shared" si="0"/>
        <v>0</v>
      </c>
      <c r="I8" s="1693">
        <f t="shared" si="0"/>
        <v>0</v>
      </c>
      <c r="J8" s="1691">
        <f>J10+J14+J15+J16</f>
        <v>0</v>
      </c>
      <c r="K8" s="1692">
        <f>K9+K14+K15+K16</f>
        <v>0</v>
      </c>
      <c r="L8" s="1692">
        <f t="shared" ref="L8:N8" si="1">L9+L14+L15+L16</f>
        <v>0</v>
      </c>
      <c r="M8" s="1692">
        <f t="shared" si="1"/>
        <v>0</v>
      </c>
      <c r="N8" s="1694">
        <f t="shared" si="1"/>
        <v>0</v>
      </c>
      <c r="O8" s="1695">
        <f>O10+O14+O15+O16</f>
        <v>0</v>
      </c>
      <c r="P8" s="1692">
        <f>P9+P14+P15+P16</f>
        <v>0</v>
      </c>
      <c r="Q8" s="1692">
        <f t="shared" ref="Q8:S8" si="2">Q9+Q14+Q15+Q16</f>
        <v>0</v>
      </c>
      <c r="R8" s="1692">
        <f t="shared" si="2"/>
        <v>0</v>
      </c>
      <c r="S8" s="1694">
        <f t="shared" si="2"/>
        <v>0</v>
      </c>
      <c r="T8" s="1696"/>
      <c r="U8" s="1688" t="s">
        <v>234</v>
      </c>
      <c r="V8" s="1689" t="s">
        <v>2026</v>
      </c>
      <c r="W8" s="1690" t="s">
        <v>249</v>
      </c>
      <c r="X8" s="1691">
        <f>X10+X14+X15+X16</f>
        <v>0</v>
      </c>
      <c r="Y8" s="1692">
        <f>Y9+Y14+Y15+Y16</f>
        <v>0</v>
      </c>
      <c r="Z8" s="1692">
        <f t="shared" ref="Z8:AB8" si="3">Z9+Z14+Z15+Z16</f>
        <v>0</v>
      </c>
      <c r="AA8" s="1692">
        <f t="shared" si="3"/>
        <v>0</v>
      </c>
      <c r="AB8" s="1693">
        <f t="shared" si="3"/>
        <v>0</v>
      </c>
      <c r="AC8" s="1691">
        <f>AC10+AC14+AC15+AC16</f>
        <v>0</v>
      </c>
      <c r="AD8" s="1692">
        <f>AD9+AD14+AD15+AD16</f>
        <v>0</v>
      </c>
      <c r="AE8" s="1692">
        <f t="shared" ref="AE8:AG8" si="4">AE9+AE14+AE15+AE16</f>
        <v>0</v>
      </c>
      <c r="AF8" s="1692">
        <f t="shared" si="4"/>
        <v>0</v>
      </c>
      <c r="AG8" s="1694">
        <f t="shared" si="4"/>
        <v>0</v>
      </c>
      <c r="AH8" s="1695">
        <f>AH10+AH14+AH15+AH16</f>
        <v>0</v>
      </c>
      <c r="AI8" s="1692">
        <f>AI9+AI14+AI15+AI16</f>
        <v>0</v>
      </c>
      <c r="AJ8" s="1692">
        <f t="shared" ref="AJ8:AL8" si="5">AJ9+AJ14+AJ15+AJ16</f>
        <v>0</v>
      </c>
      <c r="AK8" s="1692">
        <f t="shared" si="5"/>
        <v>0</v>
      </c>
      <c r="AL8" s="1694">
        <f t="shared" si="5"/>
        <v>0</v>
      </c>
      <c r="AM8" s="1696"/>
      <c r="AN8" s="1688" t="s">
        <v>234</v>
      </c>
      <c r="AO8" s="1689" t="s">
        <v>2026</v>
      </c>
      <c r="AP8" s="1690" t="s">
        <v>249</v>
      </c>
      <c r="AQ8" s="1691">
        <f>AQ10+AQ14+AQ15+AQ16</f>
        <v>0</v>
      </c>
      <c r="AR8" s="1692">
        <f>AR9+AR14+AR15+AR16</f>
        <v>0</v>
      </c>
      <c r="AS8" s="1692">
        <f t="shared" ref="AS8:AU8" si="6">AS9+AS14+AS15+AS16</f>
        <v>0</v>
      </c>
      <c r="AT8" s="1692">
        <f t="shared" si="6"/>
        <v>0</v>
      </c>
      <c r="AU8" s="1693">
        <f t="shared" si="6"/>
        <v>0</v>
      </c>
      <c r="AV8" s="1691">
        <f>AV10+AV14+AV15+AV16</f>
        <v>0</v>
      </c>
      <c r="AW8" s="1692">
        <f>AW9+AW14+AW15+AW16</f>
        <v>0</v>
      </c>
      <c r="AX8" s="1692">
        <f t="shared" ref="AX8:AZ8" si="7">AX9+AX14+AX15+AX16</f>
        <v>0</v>
      </c>
      <c r="AY8" s="1692">
        <f t="shared" si="7"/>
        <v>0</v>
      </c>
      <c r="AZ8" s="1694">
        <f t="shared" si="7"/>
        <v>0</v>
      </c>
      <c r="BA8" s="1695">
        <f>BA10+BA14+BA15+BA16</f>
        <v>0</v>
      </c>
      <c r="BB8" s="1692">
        <f>BB9+BB14+BB15+BB16</f>
        <v>0</v>
      </c>
      <c r="BC8" s="1692">
        <f t="shared" ref="BC8:BE8" si="8">BC9+BC14+BC15+BC16</f>
        <v>0</v>
      </c>
      <c r="BD8" s="1692">
        <f t="shared" si="8"/>
        <v>0</v>
      </c>
      <c r="BE8" s="1694">
        <f t="shared" si="8"/>
        <v>0</v>
      </c>
      <c r="BF8" s="1687"/>
      <c r="BG8" s="1688" t="s">
        <v>234</v>
      </c>
      <c r="BH8" s="1689" t="s">
        <v>2026</v>
      </c>
      <c r="BI8" s="1690" t="s">
        <v>249</v>
      </c>
      <c r="BJ8" s="1691">
        <f>BJ10+BJ14+BJ15+BJ16</f>
        <v>0</v>
      </c>
      <c r="BK8" s="1692">
        <f>BK9+BK14+BK15+BK16</f>
        <v>0</v>
      </c>
      <c r="BL8" s="1692">
        <f t="shared" ref="BL8:BN8" si="9">BL9+BL14+BL15+BL16</f>
        <v>0</v>
      </c>
      <c r="BM8" s="1692">
        <f t="shared" si="9"/>
        <v>0</v>
      </c>
      <c r="BN8" s="1693">
        <f t="shared" si="9"/>
        <v>0</v>
      </c>
      <c r="BO8" s="1691">
        <f>BO10+BO14+BO15+BO16</f>
        <v>0</v>
      </c>
      <c r="BP8" s="1692">
        <f>BP9+BP14+BP15+BP16</f>
        <v>0</v>
      </c>
      <c r="BQ8" s="1692">
        <f t="shared" ref="BQ8:BS8" si="10">BQ9+BQ14+BQ15+BQ16</f>
        <v>0</v>
      </c>
      <c r="BR8" s="1692">
        <f t="shared" si="10"/>
        <v>0</v>
      </c>
      <c r="BS8" s="1694">
        <f t="shared" si="10"/>
        <v>0</v>
      </c>
      <c r="BT8" s="1695">
        <f>BT10+BT14+BT15+BT16</f>
        <v>0</v>
      </c>
      <c r="BU8" s="1692">
        <f>BU9+BU14+BU15+BU16</f>
        <v>0</v>
      </c>
      <c r="BV8" s="1692">
        <f t="shared" ref="BV8:BX8" si="11">BV9+BV14+BV15+BV16</f>
        <v>0</v>
      </c>
      <c r="BW8" s="1692">
        <f t="shared" si="11"/>
        <v>0</v>
      </c>
      <c r="BX8" s="1694">
        <f t="shared" si="11"/>
        <v>0</v>
      </c>
      <c r="BY8" s="1696"/>
      <c r="BZ8" s="1688" t="s">
        <v>234</v>
      </c>
      <c r="CA8" s="1689" t="s">
        <v>2026</v>
      </c>
      <c r="CB8" s="1690" t="s">
        <v>249</v>
      </c>
      <c r="CC8" s="1691">
        <f>CC10+CC14+CC15+CC16</f>
        <v>0</v>
      </c>
      <c r="CD8" s="1692">
        <f>CD9+CD14+CD15+CD16</f>
        <v>0</v>
      </c>
      <c r="CE8" s="1692">
        <f t="shared" ref="CE8:CG8" si="12">CE9+CE14+CE15+CE16</f>
        <v>0</v>
      </c>
      <c r="CF8" s="1692">
        <f t="shared" si="12"/>
        <v>0</v>
      </c>
      <c r="CG8" s="1693">
        <f t="shared" si="12"/>
        <v>0</v>
      </c>
      <c r="CH8" s="1691">
        <f>CH10+CH14+CH15+CH16</f>
        <v>0</v>
      </c>
      <c r="CI8" s="1692">
        <f>CI9+CI14+CI15+CI16</f>
        <v>0</v>
      </c>
      <c r="CJ8" s="1692">
        <f t="shared" ref="CJ8:CL8" si="13">CJ9+CJ14+CJ15+CJ16</f>
        <v>0</v>
      </c>
      <c r="CK8" s="1692">
        <f t="shared" si="13"/>
        <v>0</v>
      </c>
      <c r="CL8" s="1694">
        <f t="shared" si="13"/>
        <v>0</v>
      </c>
      <c r="CM8" s="1695">
        <f>CM10+CM14+CM15+CM16</f>
        <v>0</v>
      </c>
      <c r="CN8" s="1692">
        <f>CN9+CN14+CN15+CN16</f>
        <v>0</v>
      </c>
      <c r="CO8" s="1692">
        <f t="shared" ref="CO8:CQ8" si="14">CO9+CO14+CO15+CO16</f>
        <v>0</v>
      </c>
      <c r="CP8" s="1692">
        <f t="shared" si="14"/>
        <v>0</v>
      </c>
      <c r="CQ8" s="1694">
        <f t="shared" si="14"/>
        <v>0</v>
      </c>
    </row>
    <row r="9" spans="1:95">
      <c r="A9" s="1685"/>
      <c r="B9" s="1697" t="s">
        <v>267</v>
      </c>
      <c r="C9" s="1526" t="s">
        <v>2027</v>
      </c>
      <c r="D9" s="1589" t="s">
        <v>249</v>
      </c>
      <c r="E9" s="1698">
        <f>SUM(F9:I9)</f>
        <v>0</v>
      </c>
      <c r="F9" s="1699">
        <f>SUM(F10:F13)</f>
        <v>0</v>
      </c>
      <c r="G9" s="1699">
        <f t="shared" ref="G9:I9" si="15">SUM(G10:G13)</f>
        <v>0</v>
      </c>
      <c r="H9" s="1699">
        <f t="shared" si="15"/>
        <v>0</v>
      </c>
      <c r="I9" s="1700">
        <f t="shared" si="15"/>
        <v>0</v>
      </c>
      <c r="J9" s="1698">
        <f>SUM(K9:N9)</f>
        <v>0</v>
      </c>
      <c r="K9" s="1699">
        <f>SUM(K10:K13)</f>
        <v>0</v>
      </c>
      <c r="L9" s="1699">
        <f t="shared" ref="L9:N9" si="16">SUM(L10:L13)</f>
        <v>0</v>
      </c>
      <c r="M9" s="1699">
        <f t="shared" si="16"/>
        <v>0</v>
      </c>
      <c r="N9" s="1700">
        <f t="shared" si="16"/>
        <v>0</v>
      </c>
      <c r="O9" s="1701">
        <f>SUM(P9:S9)</f>
        <v>0</v>
      </c>
      <c r="P9" s="1699">
        <f>SUM(P10:P13)</f>
        <v>0</v>
      </c>
      <c r="Q9" s="1699">
        <f t="shared" ref="Q9:S9" si="17">SUM(Q10:Q13)</f>
        <v>0</v>
      </c>
      <c r="R9" s="1699">
        <f t="shared" si="17"/>
        <v>0</v>
      </c>
      <c r="S9" s="1700">
        <f t="shared" si="17"/>
        <v>0</v>
      </c>
      <c r="T9" s="1686"/>
      <c r="U9" s="1697" t="s">
        <v>267</v>
      </c>
      <c r="V9" s="1526" t="s">
        <v>2027</v>
      </c>
      <c r="W9" s="1589" t="s">
        <v>249</v>
      </c>
      <c r="X9" s="1698">
        <f>SUM(Y9:AB9)</f>
        <v>0</v>
      </c>
      <c r="Y9" s="1699">
        <f>SUM(Y10:Y13)</f>
        <v>0</v>
      </c>
      <c r="Z9" s="1699">
        <f t="shared" ref="Z9:AB9" si="18">SUM(Z10:Z13)</f>
        <v>0</v>
      </c>
      <c r="AA9" s="1699">
        <f t="shared" si="18"/>
        <v>0</v>
      </c>
      <c r="AB9" s="1700">
        <f t="shared" si="18"/>
        <v>0</v>
      </c>
      <c r="AC9" s="1698">
        <f>SUM(AD9:AG9)</f>
        <v>0</v>
      </c>
      <c r="AD9" s="1699">
        <f>SUM(AD10:AD13)</f>
        <v>0</v>
      </c>
      <c r="AE9" s="1699">
        <f t="shared" ref="AE9:AG9" si="19">SUM(AE10:AE13)</f>
        <v>0</v>
      </c>
      <c r="AF9" s="1699">
        <f t="shared" si="19"/>
        <v>0</v>
      </c>
      <c r="AG9" s="1700">
        <f t="shared" si="19"/>
        <v>0</v>
      </c>
      <c r="AH9" s="1701">
        <f>SUM(AI9:AL9)</f>
        <v>0</v>
      </c>
      <c r="AI9" s="1699">
        <f>SUM(AI10:AI13)</f>
        <v>0</v>
      </c>
      <c r="AJ9" s="1699">
        <f t="shared" ref="AJ9:AL9" si="20">SUM(AJ10:AJ13)</f>
        <v>0</v>
      </c>
      <c r="AK9" s="1699">
        <f t="shared" si="20"/>
        <v>0</v>
      </c>
      <c r="AL9" s="1700">
        <f t="shared" si="20"/>
        <v>0</v>
      </c>
      <c r="AM9" s="1686"/>
      <c r="AN9" s="1697" t="s">
        <v>267</v>
      </c>
      <c r="AO9" s="1526" t="s">
        <v>2027</v>
      </c>
      <c r="AP9" s="1589" t="s">
        <v>249</v>
      </c>
      <c r="AQ9" s="1698">
        <f>SUM(AR9:AU9)</f>
        <v>0</v>
      </c>
      <c r="AR9" s="1699">
        <f>SUM(AR10:AR13)</f>
        <v>0</v>
      </c>
      <c r="AS9" s="1699">
        <f t="shared" ref="AS9:AU9" si="21">SUM(AS10:AS13)</f>
        <v>0</v>
      </c>
      <c r="AT9" s="1699">
        <f t="shared" si="21"/>
        <v>0</v>
      </c>
      <c r="AU9" s="1700">
        <f t="shared" si="21"/>
        <v>0</v>
      </c>
      <c r="AV9" s="1698">
        <f>SUM(AW9:AZ9)</f>
        <v>0</v>
      </c>
      <c r="AW9" s="1699">
        <f>SUM(AW10:AW13)</f>
        <v>0</v>
      </c>
      <c r="AX9" s="1699">
        <f t="shared" ref="AX9:AZ9" si="22">SUM(AX10:AX13)</f>
        <v>0</v>
      </c>
      <c r="AY9" s="1699">
        <f t="shared" si="22"/>
        <v>0</v>
      </c>
      <c r="AZ9" s="1700">
        <f t="shared" si="22"/>
        <v>0</v>
      </c>
      <c r="BA9" s="1701">
        <f>SUM(BB9:BE9)</f>
        <v>0</v>
      </c>
      <c r="BB9" s="1699">
        <f>SUM(BB10:BB13)</f>
        <v>0</v>
      </c>
      <c r="BC9" s="1699">
        <f t="shared" ref="BC9:BE9" si="23">SUM(BC10:BC13)</f>
        <v>0</v>
      </c>
      <c r="BD9" s="1699">
        <f t="shared" si="23"/>
        <v>0</v>
      </c>
      <c r="BE9" s="1700">
        <f t="shared" si="23"/>
        <v>0</v>
      </c>
      <c r="BF9" s="1685"/>
      <c r="BG9" s="1697" t="s">
        <v>267</v>
      </c>
      <c r="BH9" s="1526" t="s">
        <v>2027</v>
      </c>
      <c r="BI9" s="1589" t="s">
        <v>249</v>
      </c>
      <c r="BJ9" s="1698">
        <f>SUM(BK9:BN9)</f>
        <v>0</v>
      </c>
      <c r="BK9" s="1699">
        <f>SUM(BK10:BK13)</f>
        <v>0</v>
      </c>
      <c r="BL9" s="1699">
        <f t="shared" ref="BL9:BN9" si="24">SUM(BL10:BL13)</f>
        <v>0</v>
      </c>
      <c r="BM9" s="1699">
        <f t="shared" si="24"/>
        <v>0</v>
      </c>
      <c r="BN9" s="1700">
        <f t="shared" si="24"/>
        <v>0</v>
      </c>
      <c r="BO9" s="1698">
        <f>SUM(BP9:BS9)</f>
        <v>0</v>
      </c>
      <c r="BP9" s="1699">
        <f>SUM(BP10:BP13)</f>
        <v>0</v>
      </c>
      <c r="BQ9" s="1699">
        <f t="shared" ref="BQ9:BS9" si="25">SUM(BQ10:BQ13)</f>
        <v>0</v>
      </c>
      <c r="BR9" s="1699">
        <f t="shared" si="25"/>
        <v>0</v>
      </c>
      <c r="BS9" s="1700">
        <f t="shared" si="25"/>
        <v>0</v>
      </c>
      <c r="BT9" s="1701">
        <f>SUM(BU9:BX9)</f>
        <v>0</v>
      </c>
      <c r="BU9" s="1699">
        <f>SUM(BU10:BU13)</f>
        <v>0</v>
      </c>
      <c r="BV9" s="1699">
        <f t="shared" ref="BV9:BX9" si="26">SUM(BV10:BV13)</f>
        <v>0</v>
      </c>
      <c r="BW9" s="1699">
        <f t="shared" si="26"/>
        <v>0</v>
      </c>
      <c r="BX9" s="1700">
        <f t="shared" si="26"/>
        <v>0</v>
      </c>
      <c r="BY9" s="1686"/>
      <c r="BZ9" s="1697" t="s">
        <v>267</v>
      </c>
      <c r="CA9" s="1526" t="s">
        <v>2027</v>
      </c>
      <c r="CB9" s="1589" t="s">
        <v>249</v>
      </c>
      <c r="CC9" s="1698">
        <f>SUM(CD9:CG9)</f>
        <v>0</v>
      </c>
      <c r="CD9" s="1699">
        <f>SUM(CD10:CD13)</f>
        <v>0</v>
      </c>
      <c r="CE9" s="1699">
        <f t="shared" ref="CE9:CG9" si="27">SUM(CE10:CE13)</f>
        <v>0</v>
      </c>
      <c r="CF9" s="1699">
        <f t="shared" si="27"/>
        <v>0</v>
      </c>
      <c r="CG9" s="1700">
        <f t="shared" si="27"/>
        <v>0</v>
      </c>
      <c r="CH9" s="1698">
        <f>SUM(CI9:CL9)</f>
        <v>0</v>
      </c>
      <c r="CI9" s="1699">
        <f>SUM(CI10:CI13)</f>
        <v>0</v>
      </c>
      <c r="CJ9" s="1699">
        <f t="shared" ref="CJ9:CL9" si="28">SUM(CJ10:CJ13)</f>
        <v>0</v>
      </c>
      <c r="CK9" s="1699">
        <f t="shared" si="28"/>
        <v>0</v>
      </c>
      <c r="CL9" s="1700">
        <f t="shared" si="28"/>
        <v>0</v>
      </c>
      <c r="CM9" s="1701">
        <f>SUM(CN9:CQ9)</f>
        <v>0</v>
      </c>
      <c r="CN9" s="1699">
        <f>SUM(CN10:CN13)</f>
        <v>0</v>
      </c>
      <c r="CO9" s="1699">
        <f t="shared" ref="CO9:CQ9" si="29">SUM(CO10:CO13)</f>
        <v>0</v>
      </c>
      <c r="CP9" s="1699">
        <f t="shared" si="29"/>
        <v>0</v>
      </c>
      <c r="CQ9" s="1700">
        <f t="shared" si="29"/>
        <v>0</v>
      </c>
    </row>
    <row r="10" spans="1:95">
      <c r="A10" s="1685"/>
      <c r="B10" s="1697" t="s">
        <v>319</v>
      </c>
      <c r="C10" s="1702" t="s">
        <v>2028</v>
      </c>
      <c r="D10" s="1589" t="s">
        <v>249</v>
      </c>
      <c r="E10" s="1698">
        <f>SUM(F10:I10)</f>
        <v>0</v>
      </c>
      <c r="F10" s="1531"/>
      <c r="G10" s="1531"/>
      <c r="H10" s="1531"/>
      <c r="I10" s="1703"/>
      <c r="J10" s="1698">
        <f>SUM(K10:N10)</f>
        <v>0</v>
      </c>
      <c r="K10" s="1531"/>
      <c r="L10" s="1531"/>
      <c r="M10" s="1531"/>
      <c r="N10" s="1703"/>
      <c r="O10" s="1701">
        <f>SUM(P10:S10)</f>
        <v>0</v>
      </c>
      <c r="P10" s="1699">
        <f>K10+F10</f>
        <v>0</v>
      </c>
      <c r="Q10" s="1699">
        <f t="shared" ref="Q10:S10" si="30">L10+G10</f>
        <v>0</v>
      </c>
      <c r="R10" s="1699">
        <f t="shared" si="30"/>
        <v>0</v>
      </c>
      <c r="S10" s="1700">
        <f t="shared" si="30"/>
        <v>0</v>
      </c>
      <c r="T10" s="1686"/>
      <c r="U10" s="1697" t="s">
        <v>319</v>
      </c>
      <c r="V10" s="1702" t="s">
        <v>2028</v>
      </c>
      <c r="W10" s="1589" t="s">
        <v>249</v>
      </c>
      <c r="X10" s="1698">
        <f>SUM(Y10:AB10)</f>
        <v>0</v>
      </c>
      <c r="Y10" s="1531"/>
      <c r="Z10" s="1531"/>
      <c r="AA10" s="1531"/>
      <c r="AB10" s="1703"/>
      <c r="AC10" s="1698">
        <f>SUM(AD10:AG10)</f>
        <v>0</v>
      </c>
      <c r="AD10" s="1531"/>
      <c r="AE10" s="1531"/>
      <c r="AF10" s="1531"/>
      <c r="AG10" s="1703"/>
      <c r="AH10" s="1701">
        <f>SUM(AI10:AL10)</f>
        <v>0</v>
      </c>
      <c r="AI10" s="1699">
        <f>AD10+Y10</f>
        <v>0</v>
      </c>
      <c r="AJ10" s="1699">
        <f t="shared" ref="AJ10" si="31">AE10+Z10</f>
        <v>0</v>
      </c>
      <c r="AK10" s="1699">
        <f t="shared" ref="AK10" si="32">AF10+AA10</f>
        <v>0</v>
      </c>
      <c r="AL10" s="1700">
        <f t="shared" ref="AL10" si="33">AG10+AB10</f>
        <v>0</v>
      </c>
      <c r="AM10" s="1686"/>
      <c r="AN10" s="1697" t="s">
        <v>319</v>
      </c>
      <c r="AO10" s="1702" t="s">
        <v>2028</v>
      </c>
      <c r="AP10" s="1589" t="s">
        <v>249</v>
      </c>
      <c r="AQ10" s="1698">
        <f>SUM(AR10:AU10)</f>
        <v>0</v>
      </c>
      <c r="AR10" s="1531"/>
      <c r="AS10" s="1531"/>
      <c r="AT10" s="1531"/>
      <c r="AU10" s="1703"/>
      <c r="AV10" s="1698">
        <f>SUM(AW10:AZ10)</f>
        <v>0</v>
      </c>
      <c r="AW10" s="1531"/>
      <c r="AX10" s="1531"/>
      <c r="AY10" s="1531"/>
      <c r="AZ10" s="1703"/>
      <c r="BA10" s="1701">
        <f>SUM(BB10:BE10)</f>
        <v>0</v>
      </c>
      <c r="BB10" s="1699">
        <f>AW10+AR10</f>
        <v>0</v>
      </c>
      <c r="BC10" s="1699">
        <f t="shared" ref="BC10" si="34">AX10+AS10</f>
        <v>0</v>
      </c>
      <c r="BD10" s="1699">
        <f t="shared" ref="BD10" si="35">AY10+AT10</f>
        <v>0</v>
      </c>
      <c r="BE10" s="1700">
        <f t="shared" ref="BE10" si="36">AZ10+AU10</f>
        <v>0</v>
      </c>
      <c r="BF10" s="1685"/>
      <c r="BG10" s="1697" t="s">
        <v>319</v>
      </c>
      <c r="BH10" s="1702" t="s">
        <v>2028</v>
      </c>
      <c r="BI10" s="1589" t="s">
        <v>249</v>
      </c>
      <c r="BJ10" s="1698">
        <f>SUM(BK10:BN10)</f>
        <v>0</v>
      </c>
      <c r="BK10" s="1531"/>
      <c r="BL10" s="1531"/>
      <c r="BM10" s="1531"/>
      <c r="BN10" s="1703"/>
      <c r="BO10" s="1698">
        <f>SUM(BP10:BS10)</f>
        <v>0</v>
      </c>
      <c r="BP10" s="1531"/>
      <c r="BQ10" s="1531"/>
      <c r="BR10" s="1531"/>
      <c r="BS10" s="1703"/>
      <c r="BT10" s="1701">
        <f>SUM(BU10:BX10)</f>
        <v>0</v>
      </c>
      <c r="BU10" s="1699">
        <f>BP10+BK10</f>
        <v>0</v>
      </c>
      <c r="BV10" s="1699">
        <f t="shared" ref="BV10" si="37">BQ10+BL10</f>
        <v>0</v>
      </c>
      <c r="BW10" s="1699">
        <f t="shared" ref="BW10" si="38">BR10+BM10</f>
        <v>0</v>
      </c>
      <c r="BX10" s="1700">
        <f t="shared" ref="BX10" si="39">BS10+BN10</f>
        <v>0</v>
      </c>
      <c r="BY10" s="1686"/>
      <c r="BZ10" s="1697" t="s">
        <v>319</v>
      </c>
      <c r="CA10" s="1702" t="s">
        <v>2028</v>
      </c>
      <c r="CB10" s="1589" t="s">
        <v>249</v>
      </c>
      <c r="CC10" s="1698">
        <f>SUM(CD10:CG10)</f>
        <v>0</v>
      </c>
      <c r="CD10" s="1531"/>
      <c r="CE10" s="1531"/>
      <c r="CF10" s="1531"/>
      <c r="CG10" s="1703"/>
      <c r="CH10" s="1698">
        <f>SUM(CI10:CL10)</f>
        <v>0</v>
      </c>
      <c r="CI10" s="1531"/>
      <c r="CJ10" s="1531"/>
      <c r="CK10" s="1531"/>
      <c r="CL10" s="1703"/>
      <c r="CM10" s="1701">
        <f>SUM(CN10:CQ10)</f>
        <v>0</v>
      </c>
      <c r="CN10" s="1699">
        <f>CI10+CD10</f>
        <v>0</v>
      </c>
      <c r="CO10" s="1699">
        <f t="shared" ref="CO10" si="40">CJ10+CE10</f>
        <v>0</v>
      </c>
      <c r="CP10" s="1699">
        <f t="shared" ref="CP10" si="41">CK10+CF10</f>
        <v>0</v>
      </c>
      <c r="CQ10" s="1700">
        <f t="shared" ref="CQ10" si="42">CL10+CG10</f>
        <v>0</v>
      </c>
    </row>
    <row r="11" spans="1:95">
      <c r="A11" s="1685"/>
      <c r="B11" s="1697" t="s">
        <v>321</v>
      </c>
      <c r="C11" s="1702" t="s">
        <v>168</v>
      </c>
      <c r="D11" s="1589" t="s">
        <v>249</v>
      </c>
      <c r="E11" s="1704"/>
      <c r="F11" s="1705"/>
      <c r="G11" s="1706">
        <f>G17+G19+G20+H12+I12-G10-G14-G15-G16</f>
        <v>0</v>
      </c>
      <c r="H11" s="1706">
        <f>H17+H19+H20+I13-H12-H14-H15-H16-H10</f>
        <v>0</v>
      </c>
      <c r="I11" s="1528"/>
      <c r="J11" s="1704"/>
      <c r="K11" s="1705"/>
      <c r="L11" s="1706">
        <f>L17+L19+L20+M12+N12-L10-L14-L15-L16</f>
        <v>0</v>
      </c>
      <c r="M11" s="1706">
        <f>M17+M19+M20+N13-M12-M14-M15-M16-M10</f>
        <v>0</v>
      </c>
      <c r="N11" s="1528"/>
      <c r="O11" s="1707"/>
      <c r="P11" s="1705"/>
      <c r="Q11" s="1699">
        <f>Q17+Q19+Q20+R12+S12-Q10-Q14-Q15-Q16</f>
        <v>0</v>
      </c>
      <c r="R11" s="1699">
        <f>R17+R19+R20+S13-R12-R14-R15-R16-R10</f>
        <v>0</v>
      </c>
      <c r="S11" s="1528"/>
      <c r="T11" s="1686"/>
      <c r="U11" s="1697" t="s">
        <v>321</v>
      </c>
      <c r="V11" s="1702" t="s">
        <v>168</v>
      </c>
      <c r="W11" s="1589" t="s">
        <v>249</v>
      </c>
      <c r="X11" s="1704"/>
      <c r="Y11" s="1705"/>
      <c r="Z11" s="1706">
        <f>Z17+Z19+Z20+AA12+AB12-Z10-Z14-Z15-Z16</f>
        <v>0</v>
      </c>
      <c r="AA11" s="1706">
        <f>AA17+AA19+AA20+AB13-AA12-AA14-AA15-AA16-AA10</f>
        <v>0</v>
      </c>
      <c r="AB11" s="1528"/>
      <c r="AC11" s="1704"/>
      <c r="AD11" s="1705"/>
      <c r="AE11" s="1706">
        <f>AE17+AE19+AE20+AF12+AG12-AE10-AE14-AE15-AE16</f>
        <v>0</v>
      </c>
      <c r="AF11" s="1706">
        <f>AF17+AF19+AF20+AG13-AF12-AF14-AF15-AF16-AF10</f>
        <v>0</v>
      </c>
      <c r="AG11" s="1528"/>
      <c r="AH11" s="1707"/>
      <c r="AI11" s="1705"/>
      <c r="AJ11" s="1699">
        <f>AJ17+AJ19+AJ20+AK12+AL12-AJ10-AJ14-AJ15-AJ16</f>
        <v>0</v>
      </c>
      <c r="AK11" s="1699">
        <f>AK17+AK19+AK20+AL13-AK12-AK14-AK15-AK16-AK10</f>
        <v>0</v>
      </c>
      <c r="AL11" s="1528"/>
      <c r="AM11" s="1686"/>
      <c r="AN11" s="1697" t="s">
        <v>321</v>
      </c>
      <c r="AO11" s="1702" t="s">
        <v>168</v>
      </c>
      <c r="AP11" s="1589" t="s">
        <v>249</v>
      </c>
      <c r="AQ11" s="1704"/>
      <c r="AR11" s="1705"/>
      <c r="AS11" s="1706">
        <f>AS17+AS19+AS20+AT12+AU12-AS10-AS14-AS15-AS16</f>
        <v>0</v>
      </c>
      <c r="AT11" s="1706">
        <f>AT17+AT19+AT20+AU13-AT12-AT14-AT15-AT16-AT10</f>
        <v>0</v>
      </c>
      <c r="AU11" s="1528"/>
      <c r="AV11" s="1704"/>
      <c r="AW11" s="1705"/>
      <c r="AX11" s="1706">
        <f>AX17+AX19+AX20+AY12+AZ12-AX10-AX14-AX15-AX16</f>
        <v>0</v>
      </c>
      <c r="AY11" s="1706">
        <f>AY17+AY19+AY20+AZ13-AY12-AY14-AY15-AY16-AY10</f>
        <v>0</v>
      </c>
      <c r="AZ11" s="1528"/>
      <c r="BA11" s="1707"/>
      <c r="BB11" s="1705"/>
      <c r="BC11" s="1699">
        <f>BC17+BC19+BC20+BD12+BE12-BC10-BC14-BC15-BC16</f>
        <v>0</v>
      </c>
      <c r="BD11" s="1699">
        <f>BD17+BD19+BD20+BE13-BD12-BD14-BD15-BD16-BD10</f>
        <v>0</v>
      </c>
      <c r="BE11" s="1528"/>
      <c r="BF11" s="1685"/>
      <c r="BG11" s="1697" t="s">
        <v>321</v>
      </c>
      <c r="BH11" s="1702" t="s">
        <v>168</v>
      </c>
      <c r="BI11" s="1589" t="s">
        <v>249</v>
      </c>
      <c r="BJ11" s="1704"/>
      <c r="BK11" s="1705"/>
      <c r="BL11" s="1706">
        <f>BL17+BL19+BL20+BM12+BN12-BL10-BL14-BL15-BL16</f>
        <v>0</v>
      </c>
      <c r="BM11" s="1706">
        <f>BM17+BM19+BM20+BN13-BM12-BM14-BM15-BM16-BM10</f>
        <v>0</v>
      </c>
      <c r="BN11" s="1528"/>
      <c r="BO11" s="1704"/>
      <c r="BP11" s="1705"/>
      <c r="BQ11" s="1706">
        <f>BQ17+BQ19+BQ20+BR12+BS12-BQ10-BQ14-BQ15-BQ16</f>
        <v>0</v>
      </c>
      <c r="BR11" s="1706">
        <f>BR17+BR19+BR20+BS13-BR12-BR14-BR15-BR16-BR10</f>
        <v>0</v>
      </c>
      <c r="BS11" s="1528"/>
      <c r="BT11" s="1707"/>
      <c r="BU11" s="1705"/>
      <c r="BV11" s="1699">
        <f>BV17+BV19+BV20+BW12+BX12-BV10-BV14-BV15-BV16</f>
        <v>0</v>
      </c>
      <c r="BW11" s="1699">
        <f>BW17+BW19+BW20+BX13-BW12-BW14-BW15-BW16-BW10</f>
        <v>0</v>
      </c>
      <c r="BX11" s="1528"/>
      <c r="BY11" s="1686"/>
      <c r="BZ11" s="1697" t="s">
        <v>321</v>
      </c>
      <c r="CA11" s="1702" t="s">
        <v>168</v>
      </c>
      <c r="CB11" s="1589" t="s">
        <v>249</v>
      </c>
      <c r="CC11" s="1704"/>
      <c r="CD11" s="1705"/>
      <c r="CE11" s="1706">
        <f>CE17+CE19+CE20+CF12+CG12-CE10-CE14-CE15-CE16</f>
        <v>0</v>
      </c>
      <c r="CF11" s="1706">
        <f>CF17+CF19+CF20+CG13-CF12-CF14-CF15-CF16-CF10</f>
        <v>0</v>
      </c>
      <c r="CG11" s="1528"/>
      <c r="CH11" s="1704"/>
      <c r="CI11" s="1705"/>
      <c r="CJ11" s="1706">
        <f>CJ17+CJ19+CJ20+CK12+CL12-CJ10-CJ14-CJ15-CJ16</f>
        <v>0</v>
      </c>
      <c r="CK11" s="1706">
        <f>CK17+CK19+CK20+CL13-CK12-CK14-CK15-CK16-CK10</f>
        <v>0</v>
      </c>
      <c r="CL11" s="1528"/>
      <c r="CM11" s="1707"/>
      <c r="CN11" s="1705"/>
      <c r="CO11" s="1699">
        <f>CO17+CO19+CO20+CP12+CQ12-CO10-CO14-CO15-CO16</f>
        <v>0</v>
      </c>
      <c r="CP11" s="1699">
        <f>CP17+CP19+CP20+CQ13-CP12-CP14-CP15-CP16-CP10</f>
        <v>0</v>
      </c>
      <c r="CQ11" s="1528"/>
    </row>
    <row r="12" spans="1:95">
      <c r="A12" s="1685"/>
      <c r="B12" s="1697" t="s">
        <v>1122</v>
      </c>
      <c r="C12" s="1702" t="s">
        <v>208</v>
      </c>
      <c r="D12" s="1589" t="s">
        <v>249</v>
      </c>
      <c r="E12" s="1704"/>
      <c r="F12" s="1705"/>
      <c r="G12" s="1529"/>
      <c r="H12" s="1531"/>
      <c r="I12" s="1703"/>
      <c r="J12" s="1704"/>
      <c r="K12" s="1705"/>
      <c r="L12" s="1529"/>
      <c r="M12" s="1531"/>
      <c r="N12" s="1703"/>
      <c r="O12" s="1707"/>
      <c r="P12" s="1705"/>
      <c r="Q12" s="1529"/>
      <c r="R12" s="1699">
        <f t="shared" ref="R12:S12" si="43">M12+H12</f>
        <v>0</v>
      </c>
      <c r="S12" s="1700">
        <f t="shared" si="43"/>
        <v>0</v>
      </c>
      <c r="T12" s="1686"/>
      <c r="U12" s="1697" t="s">
        <v>1122</v>
      </c>
      <c r="V12" s="1702" t="s">
        <v>208</v>
      </c>
      <c r="W12" s="1589" t="s">
        <v>249</v>
      </c>
      <c r="X12" s="1704"/>
      <c r="Y12" s="1705"/>
      <c r="Z12" s="1529"/>
      <c r="AA12" s="1531"/>
      <c r="AB12" s="1703"/>
      <c r="AC12" s="1704"/>
      <c r="AD12" s="1705"/>
      <c r="AE12" s="1529"/>
      <c r="AF12" s="1531"/>
      <c r="AG12" s="1703"/>
      <c r="AH12" s="1707"/>
      <c r="AI12" s="1705"/>
      <c r="AJ12" s="1529"/>
      <c r="AK12" s="1699">
        <f t="shared" ref="AK12" si="44">AF12+AA12</f>
        <v>0</v>
      </c>
      <c r="AL12" s="1700">
        <f t="shared" ref="AL12" si="45">AG12+AB12</f>
        <v>0</v>
      </c>
      <c r="AM12" s="1686"/>
      <c r="AN12" s="1697" t="s">
        <v>1122</v>
      </c>
      <c r="AO12" s="1702" t="s">
        <v>208</v>
      </c>
      <c r="AP12" s="1589" t="s">
        <v>249</v>
      </c>
      <c r="AQ12" s="1704"/>
      <c r="AR12" s="1705"/>
      <c r="AS12" s="1529"/>
      <c r="AT12" s="1531"/>
      <c r="AU12" s="1703"/>
      <c r="AV12" s="1704"/>
      <c r="AW12" s="1705"/>
      <c r="AX12" s="1529"/>
      <c r="AY12" s="1531"/>
      <c r="AZ12" s="1703"/>
      <c r="BA12" s="1707"/>
      <c r="BB12" s="1705"/>
      <c r="BC12" s="1529"/>
      <c r="BD12" s="1699">
        <f t="shared" ref="BD12" si="46">AY12+AT12</f>
        <v>0</v>
      </c>
      <c r="BE12" s="1700">
        <f t="shared" ref="BE12" si="47">AZ12+AU12</f>
        <v>0</v>
      </c>
      <c r="BF12" s="1685"/>
      <c r="BG12" s="1697" t="s">
        <v>1122</v>
      </c>
      <c r="BH12" s="1702" t="s">
        <v>208</v>
      </c>
      <c r="BI12" s="1589" t="s">
        <v>249</v>
      </c>
      <c r="BJ12" s="1704"/>
      <c r="BK12" s="1705"/>
      <c r="BL12" s="1529"/>
      <c r="BM12" s="1531"/>
      <c r="BN12" s="1703"/>
      <c r="BO12" s="1704"/>
      <c r="BP12" s="1705"/>
      <c r="BQ12" s="1529"/>
      <c r="BR12" s="1531"/>
      <c r="BS12" s="1703"/>
      <c r="BT12" s="1707"/>
      <c r="BU12" s="1705"/>
      <c r="BV12" s="1529"/>
      <c r="BW12" s="1699">
        <f t="shared" ref="BW12" si="48">BR12+BM12</f>
        <v>0</v>
      </c>
      <c r="BX12" s="1700">
        <f t="shared" ref="BX12" si="49">BS12+BN12</f>
        <v>0</v>
      </c>
      <c r="BY12" s="1686"/>
      <c r="BZ12" s="1697" t="s">
        <v>1122</v>
      </c>
      <c r="CA12" s="1702" t="s">
        <v>208</v>
      </c>
      <c r="CB12" s="1589" t="s">
        <v>249</v>
      </c>
      <c r="CC12" s="1704"/>
      <c r="CD12" s="1705"/>
      <c r="CE12" s="1529"/>
      <c r="CF12" s="1531"/>
      <c r="CG12" s="1703"/>
      <c r="CH12" s="1704"/>
      <c r="CI12" s="1705"/>
      <c r="CJ12" s="1529"/>
      <c r="CK12" s="1531"/>
      <c r="CL12" s="1703"/>
      <c r="CM12" s="1707"/>
      <c r="CN12" s="1705"/>
      <c r="CO12" s="1529"/>
      <c r="CP12" s="1699">
        <f t="shared" ref="CP12" si="50">CK12+CF12</f>
        <v>0</v>
      </c>
      <c r="CQ12" s="1700">
        <f t="shared" ref="CQ12" si="51">CL12+CG12</f>
        <v>0</v>
      </c>
    </row>
    <row r="13" spans="1:95">
      <c r="A13" s="1685"/>
      <c r="B13" s="1697" t="s">
        <v>2029</v>
      </c>
      <c r="C13" s="1702" t="s">
        <v>209</v>
      </c>
      <c r="D13" s="1589" t="s">
        <v>249</v>
      </c>
      <c r="E13" s="1704"/>
      <c r="F13" s="1705"/>
      <c r="G13" s="1529"/>
      <c r="H13" s="1529"/>
      <c r="I13" s="1710">
        <f>I17+I19+I20-I12-I10-I16-I15-I14</f>
        <v>0</v>
      </c>
      <c r="J13" s="1704"/>
      <c r="K13" s="1705"/>
      <c r="L13" s="1529"/>
      <c r="M13" s="1529"/>
      <c r="N13" s="1710">
        <f>N17+N19+N20-N12-N10-N16-N15-N14</f>
        <v>0</v>
      </c>
      <c r="O13" s="1707"/>
      <c r="P13" s="1705"/>
      <c r="Q13" s="1529"/>
      <c r="R13" s="1529"/>
      <c r="S13" s="1700">
        <f>S17+S19+S20-S12-S10-S16-S15-S14</f>
        <v>0</v>
      </c>
      <c r="T13" s="1686"/>
      <c r="U13" s="1697" t="s">
        <v>2029</v>
      </c>
      <c r="V13" s="1702" t="s">
        <v>209</v>
      </c>
      <c r="W13" s="1589" t="s">
        <v>249</v>
      </c>
      <c r="X13" s="1704"/>
      <c r="Y13" s="1705"/>
      <c r="Z13" s="1529"/>
      <c r="AA13" s="1529"/>
      <c r="AB13" s="1710">
        <f>AB17+AB19+AB20-AB12-AB10-AB16-AB15-AB14</f>
        <v>0</v>
      </c>
      <c r="AC13" s="1704"/>
      <c r="AD13" s="1705"/>
      <c r="AE13" s="1529"/>
      <c r="AF13" s="1529"/>
      <c r="AG13" s="1710">
        <f>AG17+AG19+AG20-AG12-AG10-AG16-AG15-AG14</f>
        <v>0</v>
      </c>
      <c r="AH13" s="1707"/>
      <c r="AI13" s="1705"/>
      <c r="AJ13" s="1529"/>
      <c r="AK13" s="1529"/>
      <c r="AL13" s="1700">
        <f>AL17+AL19+AL20-AL12-AL10-AL16-AL15-AL14</f>
        <v>0</v>
      </c>
      <c r="AM13" s="1686"/>
      <c r="AN13" s="1697" t="s">
        <v>2029</v>
      </c>
      <c r="AO13" s="1702" t="s">
        <v>209</v>
      </c>
      <c r="AP13" s="1589" t="s">
        <v>249</v>
      </c>
      <c r="AQ13" s="1704"/>
      <c r="AR13" s="1705"/>
      <c r="AS13" s="1529"/>
      <c r="AT13" s="1529"/>
      <c r="AU13" s="1710">
        <f>AU17+AU19+AU20-AU12-AU10-AU16-AU15-AU14</f>
        <v>0</v>
      </c>
      <c r="AV13" s="1704"/>
      <c r="AW13" s="1705"/>
      <c r="AX13" s="1529"/>
      <c r="AY13" s="1529"/>
      <c r="AZ13" s="1710">
        <f>AZ17+AZ19+AZ20-AZ12-AZ10-AZ16-AZ15-AZ14</f>
        <v>0</v>
      </c>
      <c r="BA13" s="1707"/>
      <c r="BB13" s="1705"/>
      <c r="BC13" s="1529"/>
      <c r="BD13" s="1529"/>
      <c r="BE13" s="1700">
        <f>BE17+BE19+BE20-BE12-BE10-BE16-BE15-BE14</f>
        <v>0</v>
      </c>
      <c r="BF13" s="1685"/>
      <c r="BG13" s="1697" t="s">
        <v>2029</v>
      </c>
      <c r="BH13" s="1702" t="s">
        <v>209</v>
      </c>
      <c r="BI13" s="1589" t="s">
        <v>249</v>
      </c>
      <c r="BJ13" s="1704"/>
      <c r="BK13" s="1705"/>
      <c r="BL13" s="1529"/>
      <c r="BM13" s="1529"/>
      <c r="BN13" s="1710">
        <f>BN17+BN19+BN20-BN12-BN10-BN16-BN15-BN14</f>
        <v>0</v>
      </c>
      <c r="BO13" s="1704"/>
      <c r="BP13" s="1705"/>
      <c r="BQ13" s="1529"/>
      <c r="BR13" s="1529"/>
      <c r="BS13" s="1710">
        <f>BS17+BS19+BS20-BS12-BS10-BS16-BS15-BS14</f>
        <v>0</v>
      </c>
      <c r="BT13" s="1707"/>
      <c r="BU13" s="1705"/>
      <c r="BV13" s="1529"/>
      <c r="BW13" s="1529"/>
      <c r="BX13" s="1700">
        <f>BX17+BX19+BX20-BX12-BX10-BX16-BX15-BX14</f>
        <v>0</v>
      </c>
      <c r="BY13" s="1686"/>
      <c r="BZ13" s="1697" t="s">
        <v>2029</v>
      </c>
      <c r="CA13" s="1702" t="s">
        <v>209</v>
      </c>
      <c r="CB13" s="1589" t="s">
        <v>249</v>
      </c>
      <c r="CC13" s="1704"/>
      <c r="CD13" s="1705"/>
      <c r="CE13" s="1529"/>
      <c r="CF13" s="1529"/>
      <c r="CG13" s="1710">
        <f>CG17+CG19+CG20-CG12-CG10-CG16-CG15-CG14</f>
        <v>0</v>
      </c>
      <c r="CH13" s="1704"/>
      <c r="CI13" s="1705"/>
      <c r="CJ13" s="1529"/>
      <c r="CK13" s="1529"/>
      <c r="CL13" s="1710">
        <f>CL17+CL19+CL20-CL12-CL10-CL16-CL15-CL14</f>
        <v>0</v>
      </c>
      <c r="CM13" s="1707"/>
      <c r="CN13" s="1705"/>
      <c r="CO13" s="1529"/>
      <c r="CP13" s="1529"/>
      <c r="CQ13" s="1700">
        <f>CQ17+CQ19+CQ20-CQ12-CQ10-CQ16-CQ15-CQ14</f>
        <v>0</v>
      </c>
    </row>
    <row r="14" spans="1:95">
      <c r="A14" s="1685"/>
      <c r="B14" s="1697" t="s">
        <v>269</v>
      </c>
      <c r="C14" s="1526" t="s">
        <v>2030</v>
      </c>
      <c r="D14" s="1589" t="s">
        <v>249</v>
      </c>
      <c r="E14" s="1698">
        <f t="shared" ref="E14:E17" si="52">SUM(F14:I14)</f>
        <v>0</v>
      </c>
      <c r="F14" s="1531"/>
      <c r="G14" s="1531"/>
      <c r="H14" s="1531"/>
      <c r="I14" s="1703"/>
      <c r="J14" s="1698">
        <f t="shared" ref="J14:J17" si="53">SUM(K14:N14)</f>
        <v>0</v>
      </c>
      <c r="K14" s="1531"/>
      <c r="L14" s="1531"/>
      <c r="M14" s="1531"/>
      <c r="N14" s="1703"/>
      <c r="O14" s="1701">
        <f t="shared" ref="O14:O17" si="54">SUM(P14:S14)</f>
        <v>0</v>
      </c>
      <c r="P14" s="1699">
        <f t="shared" ref="P14:S17" si="55">K14+F14</f>
        <v>0</v>
      </c>
      <c r="Q14" s="1699">
        <f t="shared" si="55"/>
        <v>0</v>
      </c>
      <c r="R14" s="1699">
        <f t="shared" si="55"/>
        <v>0</v>
      </c>
      <c r="S14" s="1700">
        <f t="shared" si="55"/>
        <v>0</v>
      </c>
      <c r="T14" s="1686"/>
      <c r="U14" s="1697" t="s">
        <v>269</v>
      </c>
      <c r="V14" s="1526" t="s">
        <v>2030</v>
      </c>
      <c r="W14" s="1589" t="s">
        <v>249</v>
      </c>
      <c r="X14" s="1698">
        <f t="shared" ref="X14:X17" si="56">SUM(Y14:AB14)</f>
        <v>0</v>
      </c>
      <c r="Y14" s="1531"/>
      <c r="Z14" s="1531"/>
      <c r="AA14" s="1531"/>
      <c r="AB14" s="1703"/>
      <c r="AC14" s="1698">
        <f t="shared" ref="AC14:AC17" si="57">SUM(AD14:AG14)</f>
        <v>0</v>
      </c>
      <c r="AD14" s="1531"/>
      <c r="AE14" s="1531"/>
      <c r="AF14" s="1531"/>
      <c r="AG14" s="1703"/>
      <c r="AH14" s="1701">
        <f t="shared" ref="AH14:AH17" si="58">SUM(AI14:AL14)</f>
        <v>0</v>
      </c>
      <c r="AI14" s="1699">
        <f t="shared" ref="AI14:AI15" si="59">AD14+Y14</f>
        <v>0</v>
      </c>
      <c r="AJ14" s="1699">
        <f t="shared" ref="AJ14:AJ17" si="60">AE14+Z14</f>
        <v>0</v>
      </c>
      <c r="AK14" s="1699">
        <f t="shared" ref="AK14:AK17" si="61">AF14+AA14</f>
        <v>0</v>
      </c>
      <c r="AL14" s="1700">
        <f t="shared" ref="AL14:AL17" si="62">AG14+AB14</f>
        <v>0</v>
      </c>
      <c r="AM14" s="1686"/>
      <c r="AN14" s="1697" t="s">
        <v>269</v>
      </c>
      <c r="AO14" s="1526" t="s">
        <v>2030</v>
      </c>
      <c r="AP14" s="1589" t="s">
        <v>249</v>
      </c>
      <c r="AQ14" s="1698">
        <f t="shared" ref="AQ14:AQ17" si="63">SUM(AR14:AU14)</f>
        <v>0</v>
      </c>
      <c r="AR14" s="1531"/>
      <c r="AS14" s="1531"/>
      <c r="AT14" s="1531"/>
      <c r="AU14" s="1703"/>
      <c r="AV14" s="1698">
        <f t="shared" ref="AV14:AV17" si="64">SUM(AW14:AZ14)</f>
        <v>0</v>
      </c>
      <c r="AW14" s="1531"/>
      <c r="AX14" s="1531"/>
      <c r="AY14" s="1531"/>
      <c r="AZ14" s="1703"/>
      <c r="BA14" s="1701">
        <f t="shared" ref="BA14:BA17" si="65">SUM(BB14:BE14)</f>
        <v>0</v>
      </c>
      <c r="BB14" s="1699">
        <f t="shared" ref="BB14:BB15" si="66">AW14+AR14</f>
        <v>0</v>
      </c>
      <c r="BC14" s="1699">
        <f t="shared" ref="BC14:BC17" si="67">AX14+AS14</f>
        <v>0</v>
      </c>
      <c r="BD14" s="1699">
        <f t="shared" ref="BD14:BD17" si="68">AY14+AT14</f>
        <v>0</v>
      </c>
      <c r="BE14" s="1700">
        <f t="shared" ref="BE14:BE17" si="69">AZ14+AU14</f>
        <v>0</v>
      </c>
      <c r="BF14" s="1685"/>
      <c r="BG14" s="1697" t="s">
        <v>269</v>
      </c>
      <c r="BH14" s="1526" t="s">
        <v>2030</v>
      </c>
      <c r="BI14" s="1589" t="s">
        <v>249</v>
      </c>
      <c r="BJ14" s="1698">
        <f t="shared" ref="BJ14:BJ17" si="70">SUM(BK14:BN14)</f>
        <v>0</v>
      </c>
      <c r="BK14" s="1531"/>
      <c r="BL14" s="1531"/>
      <c r="BM14" s="1531"/>
      <c r="BN14" s="1703"/>
      <c r="BO14" s="1698">
        <f t="shared" ref="BO14:BO17" si="71">SUM(BP14:BS14)</f>
        <v>0</v>
      </c>
      <c r="BP14" s="1531"/>
      <c r="BQ14" s="1531"/>
      <c r="BR14" s="1531"/>
      <c r="BS14" s="1703"/>
      <c r="BT14" s="1701">
        <f t="shared" ref="BT14:BT17" si="72">SUM(BU14:BX14)</f>
        <v>0</v>
      </c>
      <c r="BU14" s="1699">
        <f t="shared" ref="BU14:BU15" si="73">BP14+BK14</f>
        <v>0</v>
      </c>
      <c r="BV14" s="1699">
        <f t="shared" ref="BV14:BV17" si="74">BQ14+BL14</f>
        <v>0</v>
      </c>
      <c r="BW14" s="1699">
        <f t="shared" ref="BW14:BW17" si="75">BR14+BM14</f>
        <v>0</v>
      </c>
      <c r="BX14" s="1700">
        <f t="shared" ref="BX14:BX17" si="76">BS14+BN14</f>
        <v>0</v>
      </c>
      <c r="BY14" s="1686"/>
      <c r="BZ14" s="1697" t="s">
        <v>269</v>
      </c>
      <c r="CA14" s="1526" t="s">
        <v>2030</v>
      </c>
      <c r="CB14" s="1589" t="s">
        <v>249</v>
      </c>
      <c r="CC14" s="1698">
        <f t="shared" ref="CC14:CC17" si="77">SUM(CD14:CG14)</f>
        <v>0</v>
      </c>
      <c r="CD14" s="1531"/>
      <c r="CE14" s="1531"/>
      <c r="CF14" s="1531"/>
      <c r="CG14" s="1703"/>
      <c r="CH14" s="1698">
        <f t="shared" ref="CH14:CH17" si="78">SUM(CI14:CL14)</f>
        <v>0</v>
      </c>
      <c r="CI14" s="1531"/>
      <c r="CJ14" s="1531"/>
      <c r="CK14" s="1531"/>
      <c r="CL14" s="1703"/>
      <c r="CM14" s="1701">
        <f t="shared" ref="CM14:CM17" si="79">SUM(CN14:CQ14)</f>
        <v>0</v>
      </c>
      <c r="CN14" s="1699">
        <f t="shared" ref="CN14:CN15" si="80">CI14+CD14</f>
        <v>0</v>
      </c>
      <c r="CO14" s="1699">
        <f t="shared" ref="CO14:CO17" si="81">CJ14+CE14</f>
        <v>0</v>
      </c>
      <c r="CP14" s="1699">
        <f t="shared" ref="CP14:CP17" si="82">CK14+CF14</f>
        <v>0</v>
      </c>
      <c r="CQ14" s="1700">
        <f t="shared" ref="CQ14:CQ17" si="83">CL14+CG14</f>
        <v>0</v>
      </c>
    </row>
    <row r="15" spans="1:95">
      <c r="A15" s="1685"/>
      <c r="B15" s="1697" t="s">
        <v>270</v>
      </c>
      <c r="C15" s="1526" t="s">
        <v>2031</v>
      </c>
      <c r="D15" s="1589" t="s">
        <v>249</v>
      </c>
      <c r="E15" s="1698">
        <f t="shared" si="52"/>
        <v>0</v>
      </c>
      <c r="F15" s="1531"/>
      <c r="G15" s="1531"/>
      <c r="H15" s="1531"/>
      <c r="I15" s="1703"/>
      <c r="J15" s="1698">
        <f t="shared" si="53"/>
        <v>0</v>
      </c>
      <c r="K15" s="1531"/>
      <c r="L15" s="1531"/>
      <c r="M15" s="1531"/>
      <c r="N15" s="1703"/>
      <c r="O15" s="1701">
        <f t="shared" si="54"/>
        <v>0</v>
      </c>
      <c r="P15" s="1699">
        <f t="shared" si="55"/>
        <v>0</v>
      </c>
      <c r="Q15" s="1699">
        <f t="shared" si="55"/>
        <v>0</v>
      </c>
      <c r="R15" s="1699">
        <f t="shared" si="55"/>
        <v>0</v>
      </c>
      <c r="S15" s="1700">
        <f t="shared" si="55"/>
        <v>0</v>
      </c>
      <c r="T15" s="1686"/>
      <c r="U15" s="1697" t="s">
        <v>270</v>
      </c>
      <c r="V15" s="1526" t="s">
        <v>2031</v>
      </c>
      <c r="W15" s="1589" t="s">
        <v>249</v>
      </c>
      <c r="X15" s="1698">
        <f t="shared" si="56"/>
        <v>0</v>
      </c>
      <c r="Y15" s="1531"/>
      <c r="Z15" s="1531"/>
      <c r="AA15" s="1531"/>
      <c r="AB15" s="1703"/>
      <c r="AC15" s="1698">
        <f t="shared" si="57"/>
        <v>0</v>
      </c>
      <c r="AD15" s="1531"/>
      <c r="AE15" s="1531"/>
      <c r="AF15" s="1531"/>
      <c r="AG15" s="1703"/>
      <c r="AH15" s="1701">
        <f t="shared" si="58"/>
        <v>0</v>
      </c>
      <c r="AI15" s="1699">
        <f t="shared" si="59"/>
        <v>0</v>
      </c>
      <c r="AJ15" s="1699">
        <f t="shared" si="60"/>
        <v>0</v>
      </c>
      <c r="AK15" s="1699">
        <f t="shared" si="61"/>
        <v>0</v>
      </c>
      <c r="AL15" s="1700">
        <f t="shared" si="62"/>
        <v>0</v>
      </c>
      <c r="AM15" s="1686"/>
      <c r="AN15" s="1697" t="s">
        <v>270</v>
      </c>
      <c r="AO15" s="1526" t="s">
        <v>2031</v>
      </c>
      <c r="AP15" s="1589" t="s">
        <v>249</v>
      </c>
      <c r="AQ15" s="1698">
        <f t="shared" si="63"/>
        <v>0</v>
      </c>
      <c r="AR15" s="1531"/>
      <c r="AS15" s="1531"/>
      <c r="AT15" s="1531"/>
      <c r="AU15" s="1703"/>
      <c r="AV15" s="1698">
        <f t="shared" si="64"/>
        <v>0</v>
      </c>
      <c r="AW15" s="1531"/>
      <c r="AX15" s="1531"/>
      <c r="AY15" s="1531"/>
      <c r="AZ15" s="1703"/>
      <c r="BA15" s="1701">
        <f t="shared" si="65"/>
        <v>0</v>
      </c>
      <c r="BB15" s="1699">
        <f t="shared" si="66"/>
        <v>0</v>
      </c>
      <c r="BC15" s="1699">
        <f t="shared" si="67"/>
        <v>0</v>
      </c>
      <c r="BD15" s="1699">
        <f t="shared" si="68"/>
        <v>0</v>
      </c>
      <c r="BE15" s="1700">
        <f t="shared" si="69"/>
        <v>0</v>
      </c>
      <c r="BF15" s="1685"/>
      <c r="BG15" s="1697" t="s">
        <v>270</v>
      </c>
      <c r="BH15" s="1526" t="s">
        <v>2031</v>
      </c>
      <c r="BI15" s="1589" t="s">
        <v>249</v>
      </c>
      <c r="BJ15" s="1698">
        <f t="shared" si="70"/>
        <v>0</v>
      </c>
      <c r="BK15" s="1531"/>
      <c r="BL15" s="1531"/>
      <c r="BM15" s="1531"/>
      <c r="BN15" s="1703"/>
      <c r="BO15" s="1698">
        <f t="shared" si="71"/>
        <v>0</v>
      </c>
      <c r="BP15" s="1531"/>
      <c r="BQ15" s="1531"/>
      <c r="BR15" s="1531"/>
      <c r="BS15" s="1703"/>
      <c r="BT15" s="1701">
        <f t="shared" si="72"/>
        <v>0</v>
      </c>
      <c r="BU15" s="1699">
        <f t="shared" si="73"/>
        <v>0</v>
      </c>
      <c r="BV15" s="1699">
        <f t="shared" si="74"/>
        <v>0</v>
      </c>
      <c r="BW15" s="1699">
        <f t="shared" si="75"/>
        <v>0</v>
      </c>
      <c r="BX15" s="1700">
        <f t="shared" si="76"/>
        <v>0</v>
      </c>
      <c r="BY15" s="1686"/>
      <c r="BZ15" s="1697" t="s">
        <v>270</v>
      </c>
      <c r="CA15" s="1526" t="s">
        <v>2031</v>
      </c>
      <c r="CB15" s="1589" t="s">
        <v>249</v>
      </c>
      <c r="CC15" s="1698">
        <f t="shared" si="77"/>
        <v>0</v>
      </c>
      <c r="CD15" s="1531"/>
      <c r="CE15" s="1531"/>
      <c r="CF15" s="1531"/>
      <c r="CG15" s="1703"/>
      <c r="CH15" s="1698">
        <f t="shared" si="78"/>
        <v>0</v>
      </c>
      <c r="CI15" s="1531"/>
      <c r="CJ15" s="1531"/>
      <c r="CK15" s="1531"/>
      <c r="CL15" s="1703"/>
      <c r="CM15" s="1701">
        <f t="shared" si="79"/>
        <v>0</v>
      </c>
      <c r="CN15" s="1699">
        <f t="shared" si="80"/>
        <v>0</v>
      </c>
      <c r="CO15" s="1699">
        <f t="shared" si="81"/>
        <v>0</v>
      </c>
      <c r="CP15" s="1699">
        <f t="shared" si="82"/>
        <v>0</v>
      </c>
      <c r="CQ15" s="1700">
        <f t="shared" si="83"/>
        <v>0</v>
      </c>
    </row>
    <row r="16" spans="1:95">
      <c r="A16" s="1685"/>
      <c r="B16" s="1697" t="s">
        <v>286</v>
      </c>
      <c r="C16" s="1526" t="s">
        <v>2032</v>
      </c>
      <c r="D16" s="1589" t="s">
        <v>249</v>
      </c>
      <c r="E16" s="1698">
        <f t="shared" si="52"/>
        <v>0</v>
      </c>
      <c r="F16" s="1706">
        <f>E17+E19+E20-E14-E15-G16-H16-I16</f>
        <v>0</v>
      </c>
      <c r="G16" s="1531"/>
      <c r="H16" s="1531"/>
      <c r="I16" s="1703"/>
      <c r="J16" s="1698">
        <f t="shared" si="53"/>
        <v>0</v>
      </c>
      <c r="K16" s="1706">
        <f>J17+J19+J20-J14-J15-L16-M16-N16</f>
        <v>0</v>
      </c>
      <c r="L16" s="1531"/>
      <c r="M16" s="1531"/>
      <c r="N16" s="1703"/>
      <c r="O16" s="1701">
        <f t="shared" si="54"/>
        <v>0</v>
      </c>
      <c r="P16" s="1699">
        <f>O17+O19+O20-O14-O15-Q16-R16-S16</f>
        <v>0</v>
      </c>
      <c r="Q16" s="1699">
        <f t="shared" si="55"/>
        <v>0</v>
      </c>
      <c r="R16" s="1699">
        <f t="shared" si="55"/>
        <v>0</v>
      </c>
      <c r="S16" s="1700">
        <f t="shared" si="55"/>
        <v>0</v>
      </c>
      <c r="T16" s="1686"/>
      <c r="U16" s="1697" t="s">
        <v>286</v>
      </c>
      <c r="V16" s="1526" t="s">
        <v>2032</v>
      </c>
      <c r="W16" s="1589" t="s">
        <v>249</v>
      </c>
      <c r="X16" s="1698">
        <f t="shared" si="56"/>
        <v>0</v>
      </c>
      <c r="Y16" s="1706">
        <f>X17+X19+X20-X14-X15-Z16-AA16-AB16</f>
        <v>0</v>
      </c>
      <c r="Z16" s="1531"/>
      <c r="AA16" s="1531"/>
      <c r="AB16" s="1703"/>
      <c r="AC16" s="1698">
        <f t="shared" si="57"/>
        <v>0</v>
      </c>
      <c r="AD16" s="1706">
        <f>AC17+AC19+AC20-AC14-AC15-AE16-AF16-AG16</f>
        <v>0</v>
      </c>
      <c r="AE16" s="1531"/>
      <c r="AF16" s="1531"/>
      <c r="AG16" s="1703"/>
      <c r="AH16" s="1701">
        <f t="shared" si="58"/>
        <v>0</v>
      </c>
      <c r="AI16" s="1699">
        <f>AH17+AH19+AH20-AH14-AH15-AJ16-AK16-AL16</f>
        <v>0</v>
      </c>
      <c r="AJ16" s="1699">
        <f t="shared" si="60"/>
        <v>0</v>
      </c>
      <c r="AK16" s="1699">
        <f t="shared" si="61"/>
        <v>0</v>
      </c>
      <c r="AL16" s="1700">
        <f t="shared" si="62"/>
        <v>0</v>
      </c>
      <c r="AM16" s="1686"/>
      <c r="AN16" s="1697" t="s">
        <v>286</v>
      </c>
      <c r="AO16" s="1526" t="s">
        <v>2032</v>
      </c>
      <c r="AP16" s="1589" t="s">
        <v>249</v>
      </c>
      <c r="AQ16" s="1698">
        <f t="shared" si="63"/>
        <v>0</v>
      </c>
      <c r="AR16" s="1706">
        <f>AQ17+AQ19+AQ20-AQ14-AQ15-AS16-AT16-AU16</f>
        <v>0</v>
      </c>
      <c r="AS16" s="1531"/>
      <c r="AT16" s="1531"/>
      <c r="AU16" s="1703"/>
      <c r="AV16" s="1698">
        <f t="shared" si="64"/>
        <v>0</v>
      </c>
      <c r="AW16" s="1706">
        <f>AV17+AV19+AV20-AV14-AV15-AX16-AY16-AZ16</f>
        <v>0</v>
      </c>
      <c r="AX16" s="1531"/>
      <c r="AY16" s="1531"/>
      <c r="AZ16" s="1703"/>
      <c r="BA16" s="1701">
        <f t="shared" si="65"/>
        <v>0</v>
      </c>
      <c r="BB16" s="1699">
        <f>BA17+BA19+BA20-BA14-BA15-BC16-BD16-BE16</f>
        <v>0</v>
      </c>
      <c r="BC16" s="1699">
        <f t="shared" si="67"/>
        <v>0</v>
      </c>
      <c r="BD16" s="1699">
        <f t="shared" si="68"/>
        <v>0</v>
      </c>
      <c r="BE16" s="1700">
        <f t="shared" si="69"/>
        <v>0</v>
      </c>
      <c r="BF16" s="1685"/>
      <c r="BG16" s="1697" t="s">
        <v>286</v>
      </c>
      <c r="BH16" s="1526" t="s">
        <v>2032</v>
      </c>
      <c r="BI16" s="1589" t="s">
        <v>249</v>
      </c>
      <c r="BJ16" s="1698">
        <f t="shared" si="70"/>
        <v>0</v>
      </c>
      <c r="BK16" s="1706">
        <f>BJ17+BJ19+BJ20-BJ14-BJ15-BL16-BM16-BN16</f>
        <v>0</v>
      </c>
      <c r="BL16" s="1531"/>
      <c r="BM16" s="1531"/>
      <c r="BN16" s="1703"/>
      <c r="BO16" s="1698">
        <f t="shared" si="71"/>
        <v>0</v>
      </c>
      <c r="BP16" s="1706">
        <f>BO17+BO19+BO20-BO14-BO15-BQ16-BR16-BS16</f>
        <v>0</v>
      </c>
      <c r="BQ16" s="1531"/>
      <c r="BR16" s="1531"/>
      <c r="BS16" s="1703"/>
      <c r="BT16" s="1701">
        <f t="shared" si="72"/>
        <v>0</v>
      </c>
      <c r="BU16" s="1699">
        <f>BT17+BT19+BT20-BT14-BT15-BV16-BW16-BX16</f>
        <v>0</v>
      </c>
      <c r="BV16" s="1699">
        <f t="shared" si="74"/>
        <v>0</v>
      </c>
      <c r="BW16" s="1699">
        <f t="shared" si="75"/>
        <v>0</v>
      </c>
      <c r="BX16" s="1700">
        <f t="shared" si="76"/>
        <v>0</v>
      </c>
      <c r="BY16" s="1686"/>
      <c r="BZ16" s="1697" t="s">
        <v>286</v>
      </c>
      <c r="CA16" s="1526" t="s">
        <v>2032</v>
      </c>
      <c r="CB16" s="1589" t="s">
        <v>249</v>
      </c>
      <c r="CC16" s="1698">
        <f t="shared" si="77"/>
        <v>0</v>
      </c>
      <c r="CD16" s="1706">
        <f>CC17+CC19+CC20-CC14-CC15-CE16-CF16-CG16</f>
        <v>0</v>
      </c>
      <c r="CE16" s="1531"/>
      <c r="CF16" s="1531"/>
      <c r="CG16" s="1703"/>
      <c r="CH16" s="1698">
        <f t="shared" si="78"/>
        <v>0</v>
      </c>
      <c r="CI16" s="1706">
        <f>CH17+CH19+CH20-CH14-CH15-CJ16-CK16-CL16</f>
        <v>0</v>
      </c>
      <c r="CJ16" s="1531"/>
      <c r="CK16" s="1531"/>
      <c r="CL16" s="1703"/>
      <c r="CM16" s="1701">
        <f t="shared" si="79"/>
        <v>0</v>
      </c>
      <c r="CN16" s="1699">
        <f>CM17+CM19+CM20-CM14-CM15-CO16-CP16-CQ16</f>
        <v>0</v>
      </c>
      <c r="CO16" s="1699">
        <f t="shared" si="81"/>
        <v>0</v>
      </c>
      <c r="CP16" s="1699">
        <f t="shared" si="82"/>
        <v>0</v>
      </c>
      <c r="CQ16" s="1700">
        <f t="shared" si="83"/>
        <v>0</v>
      </c>
    </row>
    <row r="17" spans="1:95" s="1519" customFormat="1" ht="15.75">
      <c r="A17" s="1687"/>
      <c r="B17" s="1523" t="s">
        <v>237</v>
      </c>
      <c r="C17" s="1521" t="s">
        <v>2033</v>
      </c>
      <c r="D17" s="1711" t="s">
        <v>249</v>
      </c>
      <c r="E17" s="1712">
        <f t="shared" si="52"/>
        <v>0</v>
      </c>
      <c r="F17" s="1531"/>
      <c r="G17" s="1531"/>
      <c r="H17" s="1531"/>
      <c r="I17" s="1531"/>
      <c r="J17" s="1712">
        <f t="shared" si="53"/>
        <v>0</v>
      </c>
      <c r="K17" s="1531"/>
      <c r="L17" s="1531"/>
      <c r="M17" s="1531"/>
      <c r="N17" s="1703"/>
      <c r="O17" s="1713">
        <f t="shared" si="54"/>
        <v>0</v>
      </c>
      <c r="P17" s="1714">
        <f>K17+F17</f>
        <v>0</v>
      </c>
      <c r="Q17" s="1714">
        <f t="shared" si="55"/>
        <v>0</v>
      </c>
      <c r="R17" s="1714">
        <f t="shared" si="55"/>
        <v>0</v>
      </c>
      <c r="S17" s="1715">
        <f t="shared" si="55"/>
        <v>0</v>
      </c>
      <c r="T17" s="1696"/>
      <c r="U17" s="1523" t="s">
        <v>237</v>
      </c>
      <c r="V17" s="1521" t="s">
        <v>2033</v>
      </c>
      <c r="W17" s="1711" t="s">
        <v>249</v>
      </c>
      <c r="X17" s="1712">
        <f t="shared" si="56"/>
        <v>0</v>
      </c>
      <c r="Y17" s="1531"/>
      <c r="Z17" s="1531"/>
      <c r="AA17" s="1531"/>
      <c r="AB17" s="1531"/>
      <c r="AC17" s="1712">
        <f t="shared" si="57"/>
        <v>0</v>
      </c>
      <c r="AD17" s="1531"/>
      <c r="AE17" s="1531"/>
      <c r="AF17" s="1531"/>
      <c r="AG17" s="1703"/>
      <c r="AH17" s="1713">
        <f t="shared" si="58"/>
        <v>0</v>
      </c>
      <c r="AI17" s="1714">
        <f>AD17+Y17</f>
        <v>0</v>
      </c>
      <c r="AJ17" s="1714">
        <f t="shared" si="60"/>
        <v>0</v>
      </c>
      <c r="AK17" s="1714">
        <f t="shared" si="61"/>
        <v>0</v>
      </c>
      <c r="AL17" s="1715">
        <f t="shared" si="62"/>
        <v>0</v>
      </c>
      <c r="AM17" s="1696"/>
      <c r="AN17" s="1523" t="s">
        <v>237</v>
      </c>
      <c r="AO17" s="1521" t="s">
        <v>2033</v>
      </c>
      <c r="AP17" s="1711" t="s">
        <v>249</v>
      </c>
      <c r="AQ17" s="1712">
        <f t="shared" si="63"/>
        <v>0</v>
      </c>
      <c r="AR17" s="1531"/>
      <c r="AS17" s="1531"/>
      <c r="AT17" s="1531"/>
      <c r="AU17" s="1531"/>
      <c r="AV17" s="1712">
        <f t="shared" si="64"/>
        <v>0</v>
      </c>
      <c r="AW17" s="1531"/>
      <c r="AX17" s="1531"/>
      <c r="AY17" s="1531"/>
      <c r="AZ17" s="1703"/>
      <c r="BA17" s="1713">
        <f t="shared" si="65"/>
        <v>0</v>
      </c>
      <c r="BB17" s="1714">
        <f>AW17+AR17</f>
        <v>0</v>
      </c>
      <c r="BC17" s="1714">
        <f t="shared" si="67"/>
        <v>0</v>
      </c>
      <c r="BD17" s="1714">
        <f t="shared" si="68"/>
        <v>0</v>
      </c>
      <c r="BE17" s="1715">
        <f t="shared" si="69"/>
        <v>0</v>
      </c>
      <c r="BF17" s="1687"/>
      <c r="BG17" s="1523" t="s">
        <v>237</v>
      </c>
      <c r="BH17" s="1521" t="s">
        <v>2033</v>
      </c>
      <c r="BI17" s="1711" t="s">
        <v>249</v>
      </c>
      <c r="BJ17" s="1712">
        <f t="shared" si="70"/>
        <v>0</v>
      </c>
      <c r="BK17" s="1531"/>
      <c r="BL17" s="1531"/>
      <c r="BM17" s="1531"/>
      <c r="BN17" s="1531"/>
      <c r="BO17" s="1712">
        <f t="shared" si="71"/>
        <v>0</v>
      </c>
      <c r="BP17" s="1531"/>
      <c r="BQ17" s="1531"/>
      <c r="BR17" s="1531"/>
      <c r="BS17" s="1703"/>
      <c r="BT17" s="1713">
        <f t="shared" si="72"/>
        <v>0</v>
      </c>
      <c r="BU17" s="1714">
        <f>BP17+BK17</f>
        <v>0</v>
      </c>
      <c r="BV17" s="1714">
        <f t="shared" si="74"/>
        <v>0</v>
      </c>
      <c r="BW17" s="1714">
        <f t="shared" si="75"/>
        <v>0</v>
      </c>
      <c r="BX17" s="1715">
        <f t="shared" si="76"/>
        <v>0</v>
      </c>
      <c r="BY17" s="1696"/>
      <c r="BZ17" s="1523" t="s">
        <v>237</v>
      </c>
      <c r="CA17" s="1521" t="s">
        <v>2033</v>
      </c>
      <c r="CB17" s="1711" t="s">
        <v>249</v>
      </c>
      <c r="CC17" s="1712">
        <f t="shared" si="77"/>
        <v>0</v>
      </c>
      <c r="CD17" s="1531"/>
      <c r="CE17" s="1531"/>
      <c r="CF17" s="1531"/>
      <c r="CG17" s="1531"/>
      <c r="CH17" s="1712">
        <f t="shared" si="78"/>
        <v>0</v>
      </c>
      <c r="CI17" s="1531"/>
      <c r="CJ17" s="1531"/>
      <c r="CK17" s="1531"/>
      <c r="CL17" s="1703"/>
      <c r="CM17" s="1713">
        <f t="shared" si="79"/>
        <v>0</v>
      </c>
      <c r="CN17" s="1714">
        <f>CI17+CD17</f>
        <v>0</v>
      </c>
      <c r="CO17" s="1714">
        <f t="shared" si="81"/>
        <v>0</v>
      </c>
      <c r="CP17" s="1714">
        <f t="shared" si="82"/>
        <v>0</v>
      </c>
      <c r="CQ17" s="1715">
        <f t="shared" si="83"/>
        <v>0</v>
      </c>
    </row>
    <row r="18" spans="1:95" s="1519" customFormat="1" ht="15.75">
      <c r="A18" s="1687"/>
      <c r="B18" s="1523" t="s">
        <v>520</v>
      </c>
      <c r="C18" s="1716" t="s">
        <v>2034</v>
      </c>
      <c r="D18" s="1711" t="s">
        <v>268</v>
      </c>
      <c r="E18" s="1712">
        <f>IF(E8=0,0,E17/E8*100)</f>
        <v>0</v>
      </c>
      <c r="F18" s="1713">
        <f t="shared" ref="F18:I18" si="84">IF(F8=0,0,F17/F8*100)</f>
        <v>0</v>
      </c>
      <c r="G18" s="1713">
        <f t="shared" si="84"/>
        <v>0</v>
      </c>
      <c r="H18" s="1713">
        <f t="shared" si="84"/>
        <v>0</v>
      </c>
      <c r="I18" s="1715">
        <f t="shared" si="84"/>
        <v>0</v>
      </c>
      <c r="J18" s="1712">
        <f>IF(J8=0,0,J17/J8*100)</f>
        <v>0</v>
      </c>
      <c r="K18" s="1713">
        <f t="shared" ref="K18:N18" si="85">IF(K8=0,0,K17/K8*100)</f>
        <v>0</v>
      </c>
      <c r="L18" s="1713">
        <f t="shared" si="85"/>
        <v>0</v>
      </c>
      <c r="M18" s="1713">
        <f t="shared" si="85"/>
        <v>0</v>
      </c>
      <c r="N18" s="1715">
        <f t="shared" si="85"/>
        <v>0</v>
      </c>
      <c r="O18" s="1713">
        <f>IF(O8=0,0,O17/O8*100)</f>
        <v>0</v>
      </c>
      <c r="P18" s="1713">
        <f t="shared" ref="P18:S18" si="86">IF(P8=0,0,P17/P8*100)</f>
        <v>0</v>
      </c>
      <c r="Q18" s="1713">
        <f t="shared" si="86"/>
        <v>0</v>
      </c>
      <c r="R18" s="1713">
        <f t="shared" si="86"/>
        <v>0</v>
      </c>
      <c r="S18" s="1715">
        <f t="shared" si="86"/>
        <v>0</v>
      </c>
      <c r="T18" s="1696"/>
      <c r="U18" s="1523" t="s">
        <v>520</v>
      </c>
      <c r="V18" s="1716" t="s">
        <v>2034</v>
      </c>
      <c r="W18" s="1711" t="s">
        <v>268</v>
      </c>
      <c r="X18" s="1712">
        <f>IF(X8=0,0,X17/X8*100)</f>
        <v>0</v>
      </c>
      <c r="Y18" s="1713">
        <f t="shared" ref="Y18:AB18" si="87">IF(Y8=0,0,Y17/Y8*100)</f>
        <v>0</v>
      </c>
      <c r="Z18" s="1713">
        <f t="shared" si="87"/>
        <v>0</v>
      </c>
      <c r="AA18" s="1713">
        <f t="shared" si="87"/>
        <v>0</v>
      </c>
      <c r="AB18" s="1715">
        <f t="shared" si="87"/>
        <v>0</v>
      </c>
      <c r="AC18" s="1712">
        <f>IF(AC8=0,0,AC17/AC8*100)</f>
        <v>0</v>
      </c>
      <c r="AD18" s="1713">
        <f t="shared" ref="AD18:AG18" si="88">IF(AD8=0,0,AD17/AD8*100)</f>
        <v>0</v>
      </c>
      <c r="AE18" s="1713">
        <f t="shared" si="88"/>
        <v>0</v>
      </c>
      <c r="AF18" s="1713">
        <f t="shared" si="88"/>
        <v>0</v>
      </c>
      <c r="AG18" s="1715">
        <f t="shared" si="88"/>
        <v>0</v>
      </c>
      <c r="AH18" s="1713">
        <f>IF(AH8=0,0,AH17/AH8*100)</f>
        <v>0</v>
      </c>
      <c r="AI18" s="1713">
        <f t="shared" ref="AI18:AL18" si="89">IF(AI8=0,0,AI17/AI8*100)</f>
        <v>0</v>
      </c>
      <c r="AJ18" s="1713">
        <f t="shared" si="89"/>
        <v>0</v>
      </c>
      <c r="AK18" s="1713">
        <f t="shared" si="89"/>
        <v>0</v>
      </c>
      <c r="AL18" s="1715">
        <f t="shared" si="89"/>
        <v>0</v>
      </c>
      <c r="AM18" s="1696"/>
      <c r="AN18" s="1523" t="s">
        <v>520</v>
      </c>
      <c r="AO18" s="1716" t="s">
        <v>2034</v>
      </c>
      <c r="AP18" s="1711" t="s">
        <v>268</v>
      </c>
      <c r="AQ18" s="1712">
        <f>IF(AQ8=0,0,AQ17/AQ8*100)</f>
        <v>0</v>
      </c>
      <c r="AR18" s="1713">
        <f t="shared" ref="AR18:AU18" si="90">IF(AR8=0,0,AR17/AR8*100)</f>
        <v>0</v>
      </c>
      <c r="AS18" s="1713">
        <f t="shared" si="90"/>
        <v>0</v>
      </c>
      <c r="AT18" s="1713">
        <f t="shared" si="90"/>
        <v>0</v>
      </c>
      <c r="AU18" s="1715">
        <f t="shared" si="90"/>
        <v>0</v>
      </c>
      <c r="AV18" s="1712">
        <f>IF(AV8=0,0,AV17/AV8*100)</f>
        <v>0</v>
      </c>
      <c r="AW18" s="1713">
        <f t="shared" ref="AW18:AZ18" si="91">IF(AW8=0,0,AW17/AW8*100)</f>
        <v>0</v>
      </c>
      <c r="AX18" s="1713">
        <f t="shared" si="91"/>
        <v>0</v>
      </c>
      <c r="AY18" s="1713">
        <f t="shared" si="91"/>
        <v>0</v>
      </c>
      <c r="AZ18" s="1715">
        <f t="shared" si="91"/>
        <v>0</v>
      </c>
      <c r="BA18" s="1713">
        <f>IF(BA8=0,0,BA17/BA8*100)</f>
        <v>0</v>
      </c>
      <c r="BB18" s="1713">
        <f t="shared" ref="BB18:BE18" si="92">IF(BB8=0,0,BB17/BB8*100)</f>
        <v>0</v>
      </c>
      <c r="BC18" s="1713">
        <f t="shared" si="92"/>
        <v>0</v>
      </c>
      <c r="BD18" s="1713">
        <f t="shared" si="92"/>
        <v>0</v>
      </c>
      <c r="BE18" s="1715">
        <f t="shared" si="92"/>
        <v>0</v>
      </c>
      <c r="BF18" s="1687"/>
      <c r="BG18" s="1523" t="s">
        <v>520</v>
      </c>
      <c r="BH18" s="1716" t="s">
        <v>2034</v>
      </c>
      <c r="BI18" s="1711" t="s">
        <v>268</v>
      </c>
      <c r="BJ18" s="1712">
        <f>IF(BJ8=0,0,BJ17/BJ8*100)</f>
        <v>0</v>
      </c>
      <c r="BK18" s="1713">
        <f t="shared" ref="BK18:BN18" si="93">IF(BK8=0,0,BK17/BK8*100)</f>
        <v>0</v>
      </c>
      <c r="BL18" s="1713">
        <f t="shared" si="93"/>
        <v>0</v>
      </c>
      <c r="BM18" s="1713">
        <f t="shared" si="93"/>
        <v>0</v>
      </c>
      <c r="BN18" s="1715">
        <f t="shared" si="93"/>
        <v>0</v>
      </c>
      <c r="BO18" s="1712">
        <f>IF(BO8=0,0,BO17/BO8*100)</f>
        <v>0</v>
      </c>
      <c r="BP18" s="1713">
        <f t="shared" ref="BP18:BS18" si="94">IF(BP8=0,0,BP17/BP8*100)</f>
        <v>0</v>
      </c>
      <c r="BQ18" s="1713">
        <f t="shared" si="94"/>
        <v>0</v>
      </c>
      <c r="BR18" s="1713">
        <f t="shared" si="94"/>
        <v>0</v>
      </c>
      <c r="BS18" s="1715">
        <f t="shared" si="94"/>
        <v>0</v>
      </c>
      <c r="BT18" s="1713">
        <f>IF(BT8=0,0,BT17/BT8*100)</f>
        <v>0</v>
      </c>
      <c r="BU18" s="1713">
        <f t="shared" ref="BU18:BX18" si="95">IF(BU8=0,0,BU17/BU8*100)</f>
        <v>0</v>
      </c>
      <c r="BV18" s="1713">
        <f t="shared" si="95"/>
        <v>0</v>
      </c>
      <c r="BW18" s="1713">
        <f t="shared" si="95"/>
        <v>0</v>
      </c>
      <c r="BX18" s="1715">
        <f t="shared" si="95"/>
        <v>0</v>
      </c>
      <c r="BY18" s="1696"/>
      <c r="BZ18" s="1523" t="s">
        <v>520</v>
      </c>
      <c r="CA18" s="1716" t="s">
        <v>2034</v>
      </c>
      <c r="CB18" s="1711" t="s">
        <v>268</v>
      </c>
      <c r="CC18" s="1712">
        <f>IF(CC8=0,0,CC17/CC8*100)</f>
        <v>0</v>
      </c>
      <c r="CD18" s="1713">
        <f t="shared" ref="CD18:CG18" si="96">IF(CD8=0,0,CD17/CD8*100)</f>
        <v>0</v>
      </c>
      <c r="CE18" s="1713">
        <f t="shared" si="96"/>
        <v>0</v>
      </c>
      <c r="CF18" s="1713">
        <f t="shared" si="96"/>
        <v>0</v>
      </c>
      <c r="CG18" s="1715">
        <f t="shared" si="96"/>
        <v>0</v>
      </c>
      <c r="CH18" s="1712">
        <f>IF(CH8=0,0,CH17/CH8*100)</f>
        <v>0</v>
      </c>
      <c r="CI18" s="1713">
        <f t="shared" ref="CI18:CL18" si="97">IF(CI8=0,0,CI17/CI8*100)</f>
        <v>0</v>
      </c>
      <c r="CJ18" s="1713">
        <f t="shared" si="97"/>
        <v>0</v>
      </c>
      <c r="CK18" s="1713">
        <f t="shared" si="97"/>
        <v>0</v>
      </c>
      <c r="CL18" s="1715">
        <f t="shared" si="97"/>
        <v>0</v>
      </c>
      <c r="CM18" s="1713">
        <f>IF(CM8=0,0,CM17/CM8*100)</f>
        <v>0</v>
      </c>
      <c r="CN18" s="1713">
        <f t="shared" ref="CN18:CQ18" si="98">IF(CN8=0,0,CN17/CN8*100)</f>
        <v>0</v>
      </c>
      <c r="CO18" s="1713">
        <f t="shared" si="98"/>
        <v>0</v>
      </c>
      <c r="CP18" s="1713">
        <f t="shared" si="98"/>
        <v>0</v>
      </c>
      <c r="CQ18" s="1715">
        <f t="shared" si="98"/>
        <v>0</v>
      </c>
    </row>
    <row r="19" spans="1:95">
      <c r="A19" s="1685"/>
      <c r="B19" s="1697" t="s">
        <v>239</v>
      </c>
      <c r="C19" s="1717" t="s">
        <v>2035</v>
      </c>
      <c r="D19" s="1589" t="s">
        <v>249</v>
      </c>
      <c r="E19" s="1698">
        <f t="shared" ref="E19:E20" si="99">SUM(F19:I19)</f>
        <v>0</v>
      </c>
      <c r="F19" s="1531"/>
      <c r="G19" s="1531"/>
      <c r="H19" s="1531"/>
      <c r="I19" s="1703"/>
      <c r="J19" s="1698">
        <f t="shared" ref="J19:J20" si="100">SUM(K19:N19)</f>
        <v>0</v>
      </c>
      <c r="K19" s="1531"/>
      <c r="L19" s="1531"/>
      <c r="M19" s="1531"/>
      <c r="N19" s="1703"/>
      <c r="O19" s="1701">
        <f t="shared" ref="O19:O20" si="101">SUM(P19:S19)</f>
        <v>0</v>
      </c>
      <c r="P19" s="1699">
        <f t="shared" ref="P19:S21" si="102">K19+F19</f>
        <v>0</v>
      </c>
      <c r="Q19" s="1699">
        <f t="shared" si="102"/>
        <v>0</v>
      </c>
      <c r="R19" s="1699">
        <f t="shared" si="102"/>
        <v>0</v>
      </c>
      <c r="S19" s="1700">
        <f t="shared" si="102"/>
        <v>0</v>
      </c>
      <c r="T19" s="1686"/>
      <c r="U19" s="1697" t="s">
        <v>239</v>
      </c>
      <c r="V19" s="1717" t="s">
        <v>2035</v>
      </c>
      <c r="W19" s="1589" t="s">
        <v>249</v>
      </c>
      <c r="X19" s="1698">
        <f t="shared" ref="X19:X20" si="103">SUM(Y19:AB19)</f>
        <v>0</v>
      </c>
      <c r="Y19" s="1531"/>
      <c r="Z19" s="1531"/>
      <c r="AA19" s="1531"/>
      <c r="AB19" s="1703"/>
      <c r="AC19" s="1698">
        <f t="shared" ref="AC19:AC20" si="104">SUM(AD19:AG19)</f>
        <v>0</v>
      </c>
      <c r="AD19" s="1531"/>
      <c r="AE19" s="1531"/>
      <c r="AF19" s="1531"/>
      <c r="AG19" s="1703"/>
      <c r="AH19" s="1701">
        <f t="shared" ref="AH19:AH20" si="105">SUM(AI19:AL19)</f>
        <v>0</v>
      </c>
      <c r="AI19" s="1699">
        <f t="shared" ref="AI19:AI20" si="106">AD19+Y19</f>
        <v>0</v>
      </c>
      <c r="AJ19" s="1699">
        <f t="shared" ref="AJ19:AJ21" si="107">AE19+Z19</f>
        <v>0</v>
      </c>
      <c r="AK19" s="1699">
        <f t="shared" ref="AK19:AK21" si="108">AF19+AA19</f>
        <v>0</v>
      </c>
      <c r="AL19" s="1700">
        <f t="shared" ref="AL19:AL21" si="109">AG19+AB19</f>
        <v>0</v>
      </c>
      <c r="AM19" s="1686"/>
      <c r="AN19" s="1697" t="s">
        <v>239</v>
      </c>
      <c r="AO19" s="1717" t="s">
        <v>2035</v>
      </c>
      <c r="AP19" s="1589" t="s">
        <v>249</v>
      </c>
      <c r="AQ19" s="1698">
        <f t="shared" ref="AQ19:AQ20" si="110">SUM(AR19:AU19)</f>
        <v>0</v>
      </c>
      <c r="AR19" s="1531"/>
      <c r="AS19" s="1531"/>
      <c r="AT19" s="1531"/>
      <c r="AU19" s="1703"/>
      <c r="AV19" s="1698">
        <f t="shared" ref="AV19:AV20" si="111">SUM(AW19:AZ19)</f>
        <v>0</v>
      </c>
      <c r="AW19" s="1531"/>
      <c r="AX19" s="1531"/>
      <c r="AY19" s="1531"/>
      <c r="AZ19" s="1703"/>
      <c r="BA19" s="1701">
        <f t="shared" ref="BA19:BA20" si="112">SUM(BB19:BE19)</f>
        <v>0</v>
      </c>
      <c r="BB19" s="1699">
        <f t="shared" ref="BB19:BB20" si="113">AW19+AR19</f>
        <v>0</v>
      </c>
      <c r="BC19" s="1699">
        <f t="shared" ref="BC19:BC21" si="114">AX19+AS19</f>
        <v>0</v>
      </c>
      <c r="BD19" s="1699">
        <f t="shared" ref="BD19:BD21" si="115">AY19+AT19</f>
        <v>0</v>
      </c>
      <c r="BE19" s="1700">
        <f t="shared" ref="BE19:BE21" si="116">AZ19+AU19</f>
        <v>0</v>
      </c>
      <c r="BF19" s="1685"/>
      <c r="BG19" s="1697" t="s">
        <v>239</v>
      </c>
      <c r="BH19" s="1717" t="s">
        <v>2035</v>
      </c>
      <c r="BI19" s="1589" t="s">
        <v>249</v>
      </c>
      <c r="BJ19" s="1698">
        <f t="shared" ref="BJ19:BJ20" si="117">SUM(BK19:BN19)</f>
        <v>0</v>
      </c>
      <c r="BK19" s="1531"/>
      <c r="BL19" s="1531"/>
      <c r="BM19" s="1531"/>
      <c r="BN19" s="1703"/>
      <c r="BO19" s="1698">
        <f t="shared" ref="BO19:BO20" si="118">SUM(BP19:BS19)</f>
        <v>0</v>
      </c>
      <c r="BP19" s="1531"/>
      <c r="BQ19" s="1531"/>
      <c r="BR19" s="1531"/>
      <c r="BS19" s="1703"/>
      <c r="BT19" s="1701">
        <f t="shared" ref="BT19:BT20" si="119">SUM(BU19:BX19)</f>
        <v>0</v>
      </c>
      <c r="BU19" s="1699">
        <f t="shared" ref="BU19:BU20" si="120">BP19+BK19</f>
        <v>0</v>
      </c>
      <c r="BV19" s="1699">
        <f t="shared" ref="BV19:BV21" si="121">BQ19+BL19</f>
        <v>0</v>
      </c>
      <c r="BW19" s="1699">
        <f t="shared" ref="BW19:BW21" si="122">BR19+BM19</f>
        <v>0</v>
      </c>
      <c r="BX19" s="1700">
        <f t="shared" ref="BX19:BX21" si="123">BS19+BN19</f>
        <v>0</v>
      </c>
      <c r="BY19" s="1686"/>
      <c r="BZ19" s="1697" t="s">
        <v>239</v>
      </c>
      <c r="CA19" s="1717" t="s">
        <v>2035</v>
      </c>
      <c r="CB19" s="1589" t="s">
        <v>249</v>
      </c>
      <c r="CC19" s="1698">
        <f t="shared" ref="CC19:CC20" si="124">SUM(CD19:CG19)</f>
        <v>0</v>
      </c>
      <c r="CD19" s="1531"/>
      <c r="CE19" s="1531"/>
      <c r="CF19" s="1531"/>
      <c r="CG19" s="1703"/>
      <c r="CH19" s="1698">
        <f t="shared" ref="CH19:CH20" si="125">SUM(CI19:CL19)</f>
        <v>0</v>
      </c>
      <c r="CI19" s="1531"/>
      <c r="CJ19" s="1531"/>
      <c r="CK19" s="1531"/>
      <c r="CL19" s="1703"/>
      <c r="CM19" s="1701">
        <f t="shared" ref="CM19:CM20" si="126">SUM(CN19:CQ19)</f>
        <v>0</v>
      </c>
      <c r="CN19" s="1699">
        <f t="shared" ref="CN19:CN20" si="127">CI19+CD19</f>
        <v>0</v>
      </c>
      <c r="CO19" s="1699">
        <f t="shared" ref="CO19:CO21" si="128">CJ19+CE19</f>
        <v>0</v>
      </c>
      <c r="CP19" s="1699">
        <f t="shared" ref="CP19:CP21" si="129">CK19+CF19</f>
        <v>0</v>
      </c>
      <c r="CQ19" s="1700">
        <f t="shared" ref="CQ19:CQ21" si="130">CL19+CG19</f>
        <v>0</v>
      </c>
    </row>
    <row r="20" spans="1:95" s="1519" customFormat="1" ht="31.5">
      <c r="A20" s="1687"/>
      <c r="B20" s="1520" t="s">
        <v>242</v>
      </c>
      <c r="C20" s="1521" t="s">
        <v>2036</v>
      </c>
      <c r="D20" s="1711" t="s">
        <v>249</v>
      </c>
      <c r="E20" s="1712">
        <f t="shared" si="99"/>
        <v>0</v>
      </c>
      <c r="F20" s="1531"/>
      <c r="G20" s="1531"/>
      <c r="H20" s="1531"/>
      <c r="I20" s="1531"/>
      <c r="J20" s="1712">
        <f t="shared" si="100"/>
        <v>0</v>
      </c>
      <c r="K20" s="1531"/>
      <c r="L20" s="1531"/>
      <c r="M20" s="1531"/>
      <c r="N20" s="1703"/>
      <c r="O20" s="1713">
        <f t="shared" si="101"/>
        <v>0</v>
      </c>
      <c r="P20" s="1699">
        <f t="shared" si="102"/>
        <v>0</v>
      </c>
      <c r="Q20" s="1699">
        <f t="shared" si="102"/>
        <v>0</v>
      </c>
      <c r="R20" s="1699">
        <f t="shared" si="102"/>
        <v>0</v>
      </c>
      <c r="S20" s="1700">
        <f t="shared" si="102"/>
        <v>0</v>
      </c>
      <c r="T20" s="1696"/>
      <c r="U20" s="1523" t="s">
        <v>242</v>
      </c>
      <c r="V20" s="1521" t="s">
        <v>2036</v>
      </c>
      <c r="W20" s="1711" t="s">
        <v>249</v>
      </c>
      <c r="X20" s="1712">
        <f t="shared" si="103"/>
        <v>0</v>
      </c>
      <c r="Y20" s="1531"/>
      <c r="Z20" s="1531"/>
      <c r="AA20" s="1531"/>
      <c r="AB20" s="1531"/>
      <c r="AC20" s="1712">
        <f t="shared" si="104"/>
        <v>0</v>
      </c>
      <c r="AD20" s="1531"/>
      <c r="AE20" s="1531"/>
      <c r="AF20" s="1531"/>
      <c r="AG20" s="1703"/>
      <c r="AH20" s="1713">
        <f t="shared" si="105"/>
        <v>0</v>
      </c>
      <c r="AI20" s="1699">
        <f t="shared" si="106"/>
        <v>0</v>
      </c>
      <c r="AJ20" s="1699">
        <f t="shared" si="107"/>
        <v>0</v>
      </c>
      <c r="AK20" s="1699">
        <f t="shared" si="108"/>
        <v>0</v>
      </c>
      <c r="AL20" s="1700">
        <f t="shared" si="109"/>
        <v>0</v>
      </c>
      <c r="AM20" s="1696"/>
      <c r="AN20" s="1523" t="s">
        <v>242</v>
      </c>
      <c r="AO20" s="1521" t="s">
        <v>2036</v>
      </c>
      <c r="AP20" s="1711" t="s">
        <v>249</v>
      </c>
      <c r="AQ20" s="1712">
        <f t="shared" si="110"/>
        <v>0</v>
      </c>
      <c r="AR20" s="1531"/>
      <c r="AS20" s="1531"/>
      <c r="AT20" s="1531"/>
      <c r="AU20" s="1531"/>
      <c r="AV20" s="1712">
        <f t="shared" si="111"/>
        <v>0</v>
      </c>
      <c r="AW20" s="1531"/>
      <c r="AX20" s="1531"/>
      <c r="AY20" s="1531"/>
      <c r="AZ20" s="1703"/>
      <c r="BA20" s="1713">
        <f t="shared" si="112"/>
        <v>0</v>
      </c>
      <c r="BB20" s="1699">
        <f t="shared" si="113"/>
        <v>0</v>
      </c>
      <c r="BC20" s="1699">
        <f t="shared" si="114"/>
        <v>0</v>
      </c>
      <c r="BD20" s="1699">
        <f t="shared" si="115"/>
        <v>0</v>
      </c>
      <c r="BE20" s="1700">
        <f t="shared" si="116"/>
        <v>0</v>
      </c>
      <c r="BF20" s="1687"/>
      <c r="BG20" s="1520" t="s">
        <v>242</v>
      </c>
      <c r="BH20" s="1521" t="s">
        <v>2036</v>
      </c>
      <c r="BI20" s="1711" t="s">
        <v>249</v>
      </c>
      <c r="BJ20" s="1712">
        <f t="shared" si="117"/>
        <v>0</v>
      </c>
      <c r="BK20" s="1531"/>
      <c r="BL20" s="1531"/>
      <c r="BM20" s="1531"/>
      <c r="BN20" s="1531"/>
      <c r="BO20" s="1712">
        <f t="shared" si="118"/>
        <v>0</v>
      </c>
      <c r="BP20" s="1531"/>
      <c r="BQ20" s="1531"/>
      <c r="BR20" s="1531"/>
      <c r="BS20" s="1703"/>
      <c r="BT20" s="1713">
        <f t="shared" si="119"/>
        <v>0</v>
      </c>
      <c r="BU20" s="1699">
        <f t="shared" si="120"/>
        <v>0</v>
      </c>
      <c r="BV20" s="1699">
        <f t="shared" si="121"/>
        <v>0</v>
      </c>
      <c r="BW20" s="1699">
        <f t="shared" si="122"/>
        <v>0</v>
      </c>
      <c r="BX20" s="1700">
        <f t="shared" si="123"/>
        <v>0</v>
      </c>
      <c r="BY20" s="1696"/>
      <c r="BZ20" s="1523" t="s">
        <v>242</v>
      </c>
      <c r="CA20" s="1521" t="s">
        <v>2036</v>
      </c>
      <c r="CB20" s="1711" t="s">
        <v>249</v>
      </c>
      <c r="CC20" s="1712">
        <f t="shared" si="124"/>
        <v>0</v>
      </c>
      <c r="CD20" s="1531"/>
      <c r="CE20" s="1531"/>
      <c r="CF20" s="1531"/>
      <c r="CG20" s="1531"/>
      <c r="CH20" s="1712">
        <f t="shared" si="125"/>
        <v>0</v>
      </c>
      <c r="CI20" s="1531"/>
      <c r="CJ20" s="1531"/>
      <c r="CK20" s="1531"/>
      <c r="CL20" s="1703"/>
      <c r="CM20" s="1713">
        <f t="shared" si="126"/>
        <v>0</v>
      </c>
      <c r="CN20" s="1699">
        <f t="shared" si="127"/>
        <v>0</v>
      </c>
      <c r="CO20" s="1699">
        <f t="shared" si="128"/>
        <v>0</v>
      </c>
      <c r="CP20" s="1699">
        <f t="shared" si="129"/>
        <v>0</v>
      </c>
      <c r="CQ20" s="1700">
        <f t="shared" si="130"/>
        <v>0</v>
      </c>
    </row>
    <row r="21" spans="1:95" ht="15.75" thickBot="1">
      <c r="A21" s="1685"/>
      <c r="B21" s="1489" t="s">
        <v>473</v>
      </c>
      <c r="C21" s="1718" t="s">
        <v>2037</v>
      </c>
      <c r="D21" s="1604" t="s">
        <v>249</v>
      </c>
      <c r="E21" s="1719">
        <f>SUM(F21:I21)</f>
        <v>0</v>
      </c>
      <c r="F21" s="1720"/>
      <c r="G21" s="1720"/>
      <c r="H21" s="1720"/>
      <c r="I21" s="1721"/>
      <c r="J21" s="1722">
        <f>SUM(K21:N21)</f>
        <v>0</v>
      </c>
      <c r="K21" s="1723"/>
      <c r="L21" s="1723"/>
      <c r="M21" s="1723"/>
      <c r="N21" s="1726"/>
      <c r="O21" s="1701">
        <f>SUM(P21:S21)</f>
        <v>0</v>
      </c>
      <c r="P21" s="1699">
        <f>K21+F21</f>
        <v>0</v>
      </c>
      <c r="Q21" s="1699">
        <f t="shared" si="102"/>
        <v>0</v>
      </c>
      <c r="R21" s="1699">
        <f t="shared" si="102"/>
        <v>0</v>
      </c>
      <c r="S21" s="1700">
        <f t="shared" si="102"/>
        <v>0</v>
      </c>
      <c r="T21" s="1686"/>
      <c r="U21" s="1489" t="s">
        <v>473</v>
      </c>
      <c r="V21" s="1718" t="s">
        <v>2037</v>
      </c>
      <c r="W21" s="1604" t="s">
        <v>249</v>
      </c>
      <c r="X21" s="1719">
        <f>SUM(Y21:AB21)</f>
        <v>0</v>
      </c>
      <c r="Y21" s="1720"/>
      <c r="Z21" s="1720"/>
      <c r="AA21" s="1720"/>
      <c r="AB21" s="1721"/>
      <c r="AC21" s="1722">
        <f>SUM(AD21:AG21)</f>
        <v>0</v>
      </c>
      <c r="AD21" s="1723"/>
      <c r="AE21" s="1723"/>
      <c r="AF21" s="1723"/>
      <c r="AG21" s="1726"/>
      <c r="AH21" s="1701">
        <f>SUM(AI21:AL21)</f>
        <v>0</v>
      </c>
      <c r="AI21" s="1699">
        <f>AD21+Y21</f>
        <v>0</v>
      </c>
      <c r="AJ21" s="1699">
        <f t="shared" si="107"/>
        <v>0</v>
      </c>
      <c r="AK21" s="1699">
        <f t="shared" si="108"/>
        <v>0</v>
      </c>
      <c r="AL21" s="1700">
        <f t="shared" si="109"/>
        <v>0</v>
      </c>
      <c r="AM21" s="1686"/>
      <c r="AN21" s="1489" t="s">
        <v>473</v>
      </c>
      <c r="AO21" s="1718" t="s">
        <v>2037</v>
      </c>
      <c r="AP21" s="1604" t="s">
        <v>249</v>
      </c>
      <c r="AQ21" s="1719">
        <f>SUM(AR21:AU21)</f>
        <v>0</v>
      </c>
      <c r="AR21" s="1720"/>
      <c r="AS21" s="1720"/>
      <c r="AT21" s="1720"/>
      <c r="AU21" s="1721"/>
      <c r="AV21" s="1722">
        <f>SUM(AW21:AZ21)</f>
        <v>0</v>
      </c>
      <c r="AW21" s="1723"/>
      <c r="AX21" s="1723"/>
      <c r="AY21" s="1723"/>
      <c r="AZ21" s="1726"/>
      <c r="BA21" s="1701">
        <f>SUM(BB21:BE21)</f>
        <v>0</v>
      </c>
      <c r="BB21" s="1699">
        <f>AW21+AR21</f>
        <v>0</v>
      </c>
      <c r="BC21" s="1699">
        <f t="shared" si="114"/>
        <v>0</v>
      </c>
      <c r="BD21" s="1699">
        <f t="shared" si="115"/>
        <v>0</v>
      </c>
      <c r="BE21" s="1700">
        <f t="shared" si="116"/>
        <v>0</v>
      </c>
      <c r="BF21" s="1685"/>
      <c r="BG21" s="1489" t="s">
        <v>473</v>
      </c>
      <c r="BH21" s="1718" t="s">
        <v>2037</v>
      </c>
      <c r="BI21" s="1604" t="s">
        <v>249</v>
      </c>
      <c r="BJ21" s="1719">
        <f>SUM(BK21:BN21)</f>
        <v>0</v>
      </c>
      <c r="BK21" s="1720"/>
      <c r="BL21" s="1720"/>
      <c r="BM21" s="1720"/>
      <c r="BN21" s="1721"/>
      <c r="BO21" s="1722">
        <f>SUM(BP21:BS21)</f>
        <v>0</v>
      </c>
      <c r="BP21" s="1723"/>
      <c r="BQ21" s="1723"/>
      <c r="BR21" s="1723"/>
      <c r="BS21" s="1726"/>
      <c r="BT21" s="1701">
        <f>SUM(BU21:BX21)</f>
        <v>0</v>
      </c>
      <c r="BU21" s="1699">
        <f>BP21+BK21</f>
        <v>0</v>
      </c>
      <c r="BV21" s="1699">
        <f t="shared" si="121"/>
        <v>0</v>
      </c>
      <c r="BW21" s="1699">
        <f t="shared" si="122"/>
        <v>0</v>
      </c>
      <c r="BX21" s="1700">
        <f t="shared" si="123"/>
        <v>0</v>
      </c>
      <c r="BY21" s="1686"/>
      <c r="BZ21" s="1489" t="s">
        <v>473</v>
      </c>
      <c r="CA21" s="1718" t="s">
        <v>2037</v>
      </c>
      <c r="CB21" s="1604" t="s">
        <v>249</v>
      </c>
      <c r="CC21" s="1719">
        <f>SUM(CD21:CG21)</f>
        <v>0</v>
      </c>
      <c r="CD21" s="1720"/>
      <c r="CE21" s="1720"/>
      <c r="CF21" s="1720"/>
      <c r="CG21" s="1721"/>
      <c r="CH21" s="1722">
        <f>SUM(CI21:CL21)</f>
        <v>0</v>
      </c>
      <c r="CI21" s="1723"/>
      <c r="CJ21" s="1723"/>
      <c r="CK21" s="1723"/>
      <c r="CL21" s="1726"/>
      <c r="CM21" s="1701">
        <f>SUM(CN21:CQ21)</f>
        <v>0</v>
      </c>
      <c r="CN21" s="1699">
        <f>CI21+CD21</f>
        <v>0</v>
      </c>
      <c r="CO21" s="1699">
        <f t="shared" si="128"/>
        <v>0</v>
      </c>
      <c r="CP21" s="1699">
        <f t="shared" si="129"/>
        <v>0</v>
      </c>
      <c r="CQ21" s="1700">
        <f t="shared" si="130"/>
        <v>0</v>
      </c>
    </row>
    <row r="22" spans="1:95" ht="15.75" thickBot="1">
      <c r="A22" s="1685"/>
      <c r="B22" s="2185" t="s">
        <v>1084</v>
      </c>
      <c r="C22" s="2186"/>
      <c r="D22" s="2187"/>
      <c r="E22" s="1753">
        <f>E8-E17-E19-E20</f>
        <v>0</v>
      </c>
      <c r="F22" s="1754">
        <f>F8-G11-F19-H11-F17-F20</f>
        <v>0</v>
      </c>
      <c r="G22" s="1754">
        <f>G8-H12-I12-G17-G19-G20</f>
        <v>0</v>
      </c>
      <c r="H22" s="1754">
        <f>H8-I13-H17-H19-H20</f>
        <v>0</v>
      </c>
      <c r="I22" s="1755">
        <f>I8-I17-I19-I20</f>
        <v>0</v>
      </c>
      <c r="J22" s="1753">
        <f>J8-J17-J19-J20</f>
        <v>0</v>
      </c>
      <c r="K22" s="1754">
        <f>K8-L11-K19-M11-K17-K20</f>
        <v>0</v>
      </c>
      <c r="L22" s="1754">
        <f>L8-M12-N12-L17-L19-L20</f>
        <v>0</v>
      </c>
      <c r="M22" s="1754">
        <f>M8-N13-M17-M19-M20</f>
        <v>0</v>
      </c>
      <c r="N22" s="1755">
        <f>N8-N17-N19-N20</f>
        <v>0</v>
      </c>
      <c r="O22" s="1756">
        <f>O8-O17-O19-O20</f>
        <v>0</v>
      </c>
      <c r="P22" s="1754">
        <f>P8-Q11-P19-R11-P17-P20</f>
        <v>0</v>
      </c>
      <c r="Q22" s="1754">
        <f>Q8-R12-S12-Q17-Q19-Q20</f>
        <v>0</v>
      </c>
      <c r="R22" s="1754">
        <f>R8-S13-R17-R19-R20</f>
        <v>0</v>
      </c>
      <c r="S22" s="1755">
        <f>S8-S17-S19-S20</f>
        <v>0</v>
      </c>
      <c r="T22" s="1686"/>
      <c r="U22" s="2186" t="s">
        <v>1084</v>
      </c>
      <c r="V22" s="2186"/>
      <c r="W22" s="2187"/>
      <c r="X22" s="1753">
        <f>X8-X17-X19-X20</f>
        <v>0</v>
      </c>
      <c r="Y22" s="1754">
        <f>Y8-Z11-Y19-AA11-Y17-Y20</f>
        <v>0</v>
      </c>
      <c r="Z22" s="1754">
        <f>Z8-AA12-AB12-Z17-Z19-Z20</f>
        <v>0</v>
      </c>
      <c r="AA22" s="1754">
        <f>AA8-AB13-AA17-AA19-AA20</f>
        <v>0</v>
      </c>
      <c r="AB22" s="1755">
        <f>AB8-AB17-AB19-AB20</f>
        <v>0</v>
      </c>
      <c r="AC22" s="1753">
        <f>AC8-AC17-AC19-AC20</f>
        <v>0</v>
      </c>
      <c r="AD22" s="1754">
        <f>AD8-AE11-AD19-AF11-AD17-AD20</f>
        <v>0</v>
      </c>
      <c r="AE22" s="1754">
        <f>AE8-AF12-AG12-AE17-AE19-AE20</f>
        <v>0</v>
      </c>
      <c r="AF22" s="1754">
        <f>AF8-AG13-AF17-AF19-AF20</f>
        <v>0</v>
      </c>
      <c r="AG22" s="1755">
        <f>AG8-AG17-AG19-AG20</f>
        <v>0</v>
      </c>
      <c r="AH22" s="1756">
        <f>AH8-AH17-AH19-AH20</f>
        <v>0</v>
      </c>
      <c r="AI22" s="1754">
        <f>AI8-AJ11-AI19-AK11-AI17-AI20</f>
        <v>0</v>
      </c>
      <c r="AJ22" s="1754">
        <f>AJ8-AK12-AL12-AJ17-AJ19-AJ20</f>
        <v>0</v>
      </c>
      <c r="AK22" s="1754">
        <f>AK8-AL13-AK17-AK19-AK20</f>
        <v>0</v>
      </c>
      <c r="AL22" s="1755">
        <f>AL8-AL17-AL19-AL20</f>
        <v>0</v>
      </c>
      <c r="AM22" s="1686"/>
      <c r="AN22" s="2186" t="s">
        <v>1084</v>
      </c>
      <c r="AO22" s="2186"/>
      <c r="AP22" s="2187"/>
      <c r="AQ22" s="1753">
        <f>AQ8-AQ17-AQ19-AQ20</f>
        <v>0</v>
      </c>
      <c r="AR22" s="1754">
        <f>AR8-AS11-AR19-AT11-AR17-AR20</f>
        <v>0</v>
      </c>
      <c r="AS22" s="1754">
        <f>AS8-AT12-AU12-AS17-AS19-AS20</f>
        <v>0</v>
      </c>
      <c r="AT22" s="1754">
        <f>AT8-AU13-AT17-AT19-AT20</f>
        <v>0</v>
      </c>
      <c r="AU22" s="1755">
        <f>AU8-AU17-AU19-AU20</f>
        <v>0</v>
      </c>
      <c r="AV22" s="1753">
        <f>AV8-AV17-AV19-AV20</f>
        <v>0</v>
      </c>
      <c r="AW22" s="1754">
        <f>AW8-AX11-AW19-AY11-AW17-AW20</f>
        <v>0</v>
      </c>
      <c r="AX22" s="1754">
        <f>AX8-AY12-AZ12-AX17-AX19-AX20</f>
        <v>0</v>
      </c>
      <c r="AY22" s="1754">
        <f>AY8-AZ13-AY17-AY19-AY20</f>
        <v>0</v>
      </c>
      <c r="AZ22" s="1755">
        <f>AZ8-AZ17-AZ19-AZ20</f>
        <v>0</v>
      </c>
      <c r="BA22" s="1756">
        <f>BA8-BA17-BA19-BA20</f>
        <v>0</v>
      </c>
      <c r="BB22" s="1754">
        <f>BB8-BC11-BB19-BD11-BB17-BB20</f>
        <v>0</v>
      </c>
      <c r="BC22" s="1754">
        <f>BC8-BD12-BE12-BC17-BC19-BC20</f>
        <v>0</v>
      </c>
      <c r="BD22" s="1754">
        <f>BD8-BE13-BD17-BD19-BD20</f>
        <v>0</v>
      </c>
      <c r="BE22" s="1755">
        <f>BE8-BE17-BE19-BE20</f>
        <v>0</v>
      </c>
      <c r="BF22" s="1685"/>
      <c r="BG22" s="2185" t="s">
        <v>1084</v>
      </c>
      <c r="BH22" s="2186"/>
      <c r="BI22" s="2187"/>
      <c r="BJ22" s="1753">
        <f>BJ8-BJ17-BJ19-BJ20</f>
        <v>0</v>
      </c>
      <c r="BK22" s="1754">
        <f>BK8-BL11-BK19-BM11-BK17-BK20</f>
        <v>0</v>
      </c>
      <c r="BL22" s="1754">
        <f>BL8-BM12-BN12-BL17-BL19-BL20</f>
        <v>0</v>
      </c>
      <c r="BM22" s="1754">
        <f>BM8-BN13-BM17-BM19-BM20</f>
        <v>0</v>
      </c>
      <c r="BN22" s="1755">
        <f>BN8-BN17-BN19-BN20</f>
        <v>0</v>
      </c>
      <c r="BO22" s="1753">
        <f>BO8-BO17-BO19-BO20</f>
        <v>0</v>
      </c>
      <c r="BP22" s="1754">
        <f>BP8-BQ11-BP19-BR11-BP17-BP20</f>
        <v>0</v>
      </c>
      <c r="BQ22" s="1754">
        <f>BQ8-BR12-BS12-BQ17-BQ19-BQ20</f>
        <v>0</v>
      </c>
      <c r="BR22" s="1754">
        <f>BR8-BS13-BR17-BR19-BR20</f>
        <v>0</v>
      </c>
      <c r="BS22" s="1755">
        <f>BS8-BS17-BS19-BS20</f>
        <v>0</v>
      </c>
      <c r="BT22" s="1756">
        <f>BT8-BT17-BT19-BT20</f>
        <v>0</v>
      </c>
      <c r="BU22" s="1754">
        <f>BU8-BV11-BU19-BW11-BU17-BU20</f>
        <v>0</v>
      </c>
      <c r="BV22" s="1754">
        <f>BV8-BW12-BX12-BV17-BV19-BV20</f>
        <v>0</v>
      </c>
      <c r="BW22" s="1754">
        <f>BW8-BX13-BW17-BW19-BW20</f>
        <v>0</v>
      </c>
      <c r="BX22" s="1755">
        <f>BX8-BX17-BX19-BX20</f>
        <v>0</v>
      </c>
      <c r="BY22" s="1686"/>
      <c r="BZ22" s="2186" t="s">
        <v>1084</v>
      </c>
      <c r="CA22" s="2186"/>
      <c r="CB22" s="2187"/>
      <c r="CC22" s="1753">
        <f>CC8-CC17-CC19-CC20</f>
        <v>0</v>
      </c>
      <c r="CD22" s="1754">
        <f>CD8-CE11-CD19-CF11-CD17-CD20</f>
        <v>0</v>
      </c>
      <c r="CE22" s="1754">
        <f>CE8-CF12-CG12-CE17-CE19-CE20</f>
        <v>0</v>
      </c>
      <c r="CF22" s="1754">
        <f>CF8-CG13-CF17-CF19-CF20</f>
        <v>0</v>
      </c>
      <c r="CG22" s="1755">
        <f>CG8-CG17-CG19-CG20</f>
        <v>0</v>
      </c>
      <c r="CH22" s="1753">
        <f>CH8-CH17-CH19-CH20</f>
        <v>0</v>
      </c>
      <c r="CI22" s="1754">
        <f>CI8-CJ11-CI19-CK11-CI17-CI20</f>
        <v>0</v>
      </c>
      <c r="CJ22" s="1754">
        <f>CJ8-CK12-CL12-CJ17-CJ19-CJ20</f>
        <v>0</v>
      </c>
      <c r="CK22" s="1754">
        <f>CK8-CL13-CK17-CK19-CK20</f>
        <v>0</v>
      </c>
      <c r="CL22" s="1755">
        <f>CL8-CL17-CL19-CL20</f>
        <v>0</v>
      </c>
      <c r="CM22" s="1756">
        <f>CM8-CM17-CM19-CM20</f>
        <v>0</v>
      </c>
      <c r="CN22" s="1754">
        <f>CN8-CO11-CN19-CP11-CN17-CN20</f>
        <v>0</v>
      </c>
      <c r="CO22" s="1754">
        <f>CO8-CP12-CQ12-CO17-CO19-CO20</f>
        <v>0</v>
      </c>
      <c r="CP22" s="1754">
        <f>CP8-CQ13-CP17-CP19-CP20</f>
        <v>0</v>
      </c>
      <c r="CQ22" s="1755">
        <f>CQ8-CQ17-CQ19-CQ20</f>
        <v>0</v>
      </c>
    </row>
    <row r="25" spans="1:95" ht="20.25">
      <c r="E25" s="2188" t="s">
        <v>2038</v>
      </c>
      <c r="F25" s="2188"/>
      <c r="G25" s="2188"/>
      <c r="H25" s="2188"/>
      <c r="I25" s="2188"/>
      <c r="J25" s="2188"/>
      <c r="K25" s="2188"/>
      <c r="L25" s="2188"/>
      <c r="M25" s="2188"/>
      <c r="N25" s="2188"/>
      <c r="O25" s="2188"/>
      <c r="P25" s="2188"/>
      <c r="Q25" s="2188"/>
      <c r="R25" s="2188"/>
      <c r="S25" s="2188"/>
      <c r="X25" s="2188" t="s">
        <v>2038</v>
      </c>
      <c r="Y25" s="2188"/>
      <c r="Z25" s="2188"/>
      <c r="AA25" s="2188"/>
      <c r="AB25" s="2188"/>
      <c r="AC25" s="2188"/>
      <c r="AD25" s="2188"/>
      <c r="AE25" s="2188"/>
      <c r="AF25" s="2188"/>
      <c r="AG25" s="2188"/>
      <c r="AH25" s="2188"/>
      <c r="AI25" s="2188"/>
      <c r="AJ25" s="2188"/>
      <c r="AK25" s="2188"/>
      <c r="AL25" s="2188"/>
      <c r="AQ25" s="2188" t="s">
        <v>2038</v>
      </c>
      <c r="AR25" s="2188"/>
      <c r="AS25" s="2188"/>
      <c r="AT25" s="2188"/>
      <c r="AU25" s="2188"/>
      <c r="AV25" s="2188"/>
      <c r="AW25" s="2188"/>
      <c r="AX25" s="2188"/>
      <c r="AY25" s="2188"/>
      <c r="AZ25" s="2188"/>
      <c r="BA25" s="2188"/>
      <c r="BB25" s="2188"/>
      <c r="BC25" s="2188"/>
      <c r="BD25" s="2188"/>
      <c r="BE25" s="2188"/>
      <c r="BJ25" s="2188" t="s">
        <v>2038</v>
      </c>
      <c r="BK25" s="2188"/>
      <c r="BL25" s="2188"/>
      <c r="BM25" s="2188"/>
      <c r="BN25" s="2188"/>
      <c r="BO25" s="2188"/>
      <c r="BP25" s="2188"/>
      <c r="BQ25" s="2188"/>
      <c r="BR25" s="2188"/>
      <c r="BS25" s="2188"/>
      <c r="BT25" s="2188"/>
      <c r="BU25" s="2188"/>
      <c r="BV25" s="2188"/>
      <c r="BW25" s="2188"/>
      <c r="BX25" s="2188"/>
      <c r="CC25" s="2188" t="s">
        <v>2038</v>
      </c>
      <c r="CD25" s="2188"/>
      <c r="CE25" s="2188"/>
      <c r="CF25" s="2188"/>
      <c r="CG25" s="2188"/>
      <c r="CH25" s="2188"/>
      <c r="CI25" s="2188"/>
      <c r="CJ25" s="2188"/>
      <c r="CK25" s="2188"/>
      <c r="CL25" s="2188"/>
      <c r="CM25" s="2188"/>
      <c r="CN25" s="2188"/>
      <c r="CO25" s="2188"/>
      <c r="CP25" s="2188"/>
      <c r="CQ25" s="2188"/>
    </row>
    <row r="26" spans="1:95" ht="20.25">
      <c r="E26" s="2188">
        <f>E4</f>
        <v>0</v>
      </c>
      <c r="F26" s="2188"/>
      <c r="G26" s="2188"/>
      <c r="H26" s="2188"/>
      <c r="I26" s="2188"/>
      <c r="J26" s="2188"/>
      <c r="K26" s="2188"/>
      <c r="L26" s="2188"/>
      <c r="M26" s="2188"/>
      <c r="N26" s="2188"/>
      <c r="O26" s="2188"/>
      <c r="P26" s="2188"/>
      <c r="Q26" s="2188"/>
      <c r="R26" s="2188"/>
      <c r="S26" s="2188"/>
      <c r="X26" s="2188">
        <f>X4</f>
        <v>0</v>
      </c>
      <c r="Y26" s="2188"/>
      <c r="Z26" s="2188"/>
      <c r="AA26" s="2188"/>
      <c r="AB26" s="2188"/>
      <c r="AC26" s="2188"/>
      <c r="AD26" s="2188"/>
      <c r="AE26" s="2188"/>
      <c r="AF26" s="2188"/>
      <c r="AG26" s="2188"/>
      <c r="AH26" s="2188"/>
      <c r="AI26" s="2188"/>
      <c r="AJ26" s="2188"/>
      <c r="AK26" s="2188"/>
      <c r="AL26" s="2188"/>
      <c r="AQ26" s="2188">
        <f>AQ4</f>
        <v>0</v>
      </c>
      <c r="AR26" s="2188"/>
      <c r="AS26" s="2188"/>
      <c r="AT26" s="2188"/>
      <c r="AU26" s="2188"/>
      <c r="AV26" s="2188"/>
      <c r="AW26" s="2188"/>
      <c r="AX26" s="2188"/>
      <c r="AY26" s="2188"/>
      <c r="AZ26" s="2188"/>
      <c r="BA26" s="2188"/>
      <c r="BB26" s="2188"/>
      <c r="BC26" s="2188"/>
      <c r="BD26" s="2188"/>
      <c r="BE26" s="2188"/>
      <c r="BJ26" s="2188">
        <f>BJ4</f>
        <v>0</v>
      </c>
      <c r="BK26" s="2188"/>
      <c r="BL26" s="2188"/>
      <c r="BM26" s="2188"/>
      <c r="BN26" s="2188"/>
      <c r="BO26" s="2188"/>
      <c r="BP26" s="2188"/>
      <c r="BQ26" s="2188"/>
      <c r="BR26" s="2188"/>
      <c r="BS26" s="2188"/>
      <c r="BT26" s="2188"/>
      <c r="BU26" s="2188"/>
      <c r="BV26" s="2188"/>
      <c r="BW26" s="2188"/>
      <c r="BX26" s="2188"/>
      <c r="CC26" s="2188">
        <f>CC4</f>
        <v>0</v>
      </c>
      <c r="CD26" s="2188"/>
      <c r="CE26" s="2188"/>
      <c r="CF26" s="2188"/>
      <c r="CG26" s="2188"/>
      <c r="CH26" s="2188"/>
      <c r="CI26" s="2188"/>
      <c r="CJ26" s="2188"/>
      <c r="CK26" s="2188"/>
      <c r="CL26" s="2188"/>
      <c r="CM26" s="2188"/>
      <c r="CN26" s="2188"/>
      <c r="CO26" s="2188"/>
      <c r="CP26" s="2188"/>
      <c r="CQ26" s="2188"/>
    </row>
    <row r="27" spans="1:95" ht="15.75" thickBot="1"/>
    <row r="28" spans="1:95" ht="15.75" customHeight="1">
      <c r="A28" s="1685"/>
      <c r="B28" s="2191" t="s">
        <v>12</v>
      </c>
      <c r="C28" s="2189" t="s">
        <v>261</v>
      </c>
      <c r="D28" s="2180" t="s">
        <v>262</v>
      </c>
      <c r="E28" s="2182" t="str">
        <f>E6</f>
        <v>I полугодие 2022 года (Факт)</v>
      </c>
      <c r="F28" s="2183"/>
      <c r="G28" s="2183"/>
      <c r="H28" s="2183"/>
      <c r="I28" s="2184"/>
      <c r="J28" s="2182" t="str">
        <f>J6</f>
        <v>II полугодие 2022 года (Факт)</v>
      </c>
      <c r="K28" s="2183"/>
      <c r="L28" s="2183"/>
      <c r="M28" s="2183"/>
      <c r="N28" s="2184"/>
      <c r="O28" s="2182" t="str">
        <f>O6</f>
        <v>2022 год (Факт)</v>
      </c>
      <c r="P28" s="2183"/>
      <c r="Q28" s="2183"/>
      <c r="R28" s="2183"/>
      <c r="S28" s="2184"/>
      <c r="T28" s="1686"/>
      <c r="U28" s="2191" t="s">
        <v>12</v>
      </c>
      <c r="V28" s="2189" t="s">
        <v>261</v>
      </c>
      <c r="W28" s="2180" t="s">
        <v>262</v>
      </c>
      <c r="X28" s="2182" t="str">
        <f>X6</f>
        <v>I полугодие 2022 года (Факт)</v>
      </c>
      <c r="Y28" s="2183"/>
      <c r="Z28" s="2183"/>
      <c r="AA28" s="2183"/>
      <c r="AB28" s="2184"/>
      <c r="AC28" s="2182" t="str">
        <f>AC6</f>
        <v>II полугодие 2022 года (Факт)</v>
      </c>
      <c r="AD28" s="2183"/>
      <c r="AE28" s="2183"/>
      <c r="AF28" s="2183"/>
      <c r="AG28" s="2184"/>
      <c r="AH28" s="2182" t="str">
        <f>AH6</f>
        <v>2022 год (Факт)</v>
      </c>
      <c r="AI28" s="2183"/>
      <c r="AJ28" s="2183"/>
      <c r="AK28" s="2183"/>
      <c r="AL28" s="2184"/>
      <c r="AM28" s="1686"/>
      <c r="AN28" s="2191" t="s">
        <v>12</v>
      </c>
      <c r="AO28" s="2189" t="s">
        <v>261</v>
      </c>
      <c r="AP28" s="2180" t="s">
        <v>262</v>
      </c>
      <c r="AQ28" s="2182" t="str">
        <f>AQ6</f>
        <v>I полугодие 2023 года (Тарифно-балансовое решение)</v>
      </c>
      <c r="AR28" s="2183"/>
      <c r="AS28" s="2183"/>
      <c r="AT28" s="2183"/>
      <c r="AU28" s="2184"/>
      <c r="AV28" s="2182" t="str">
        <f>AV6</f>
        <v>II полугодие 2023 года (Тарифно-балансовое решение)</v>
      </c>
      <c r="AW28" s="2183"/>
      <c r="AX28" s="2183"/>
      <c r="AY28" s="2183"/>
      <c r="AZ28" s="2184"/>
      <c r="BA28" s="2182" t="str">
        <f>BA6</f>
        <v>2023 год (Тарифно-балансовое решение)</v>
      </c>
      <c r="BB28" s="2183"/>
      <c r="BC28" s="2183"/>
      <c r="BD28" s="2183"/>
      <c r="BE28" s="2184"/>
      <c r="BF28" s="1685"/>
      <c r="BG28" s="2191" t="s">
        <v>12</v>
      </c>
      <c r="BH28" s="2189" t="s">
        <v>261</v>
      </c>
      <c r="BI28" s="2180" t="s">
        <v>262</v>
      </c>
      <c r="BJ28" s="2182" t="str">
        <f>BJ6</f>
        <v>I полугодие 2024 года (Предложение Организации)</v>
      </c>
      <c r="BK28" s="2183"/>
      <c r="BL28" s="2183"/>
      <c r="BM28" s="2183"/>
      <c r="BN28" s="2184"/>
      <c r="BO28" s="2182" t="str">
        <f>BO6</f>
        <v>II полугодие 2024 года (Предложение Организации)</v>
      </c>
      <c r="BP28" s="2183"/>
      <c r="BQ28" s="2183"/>
      <c r="BR28" s="2183"/>
      <c r="BS28" s="2184"/>
      <c r="BT28" s="2182" t="str">
        <f>BT6</f>
        <v>2024 год (Предложение Организации)</v>
      </c>
      <c r="BU28" s="2183"/>
      <c r="BV28" s="2183"/>
      <c r="BW28" s="2183"/>
      <c r="BX28" s="2184"/>
      <c r="BY28" s="1686"/>
      <c r="BZ28" s="2191" t="s">
        <v>12</v>
      </c>
      <c r="CA28" s="2189" t="s">
        <v>261</v>
      </c>
      <c r="CB28" s="2180" t="s">
        <v>262</v>
      </c>
      <c r="CC28" s="2182" t="str">
        <f>CC6</f>
        <v>I полугодие 2024 года (Согласовано Экспертами)</v>
      </c>
      <c r="CD28" s="2183"/>
      <c r="CE28" s="2183"/>
      <c r="CF28" s="2183"/>
      <c r="CG28" s="2184"/>
      <c r="CH28" s="2182" t="str">
        <f>CH6</f>
        <v>II полугодие 2024 года (Согласовано Экспертами)</v>
      </c>
      <c r="CI28" s="2183"/>
      <c r="CJ28" s="2183"/>
      <c r="CK28" s="2183"/>
      <c r="CL28" s="2184"/>
      <c r="CM28" s="2182" t="str">
        <f>CM6</f>
        <v>2024 год (Согласовано Экспертами)</v>
      </c>
      <c r="CN28" s="2183"/>
      <c r="CO28" s="2183"/>
      <c r="CP28" s="2183"/>
      <c r="CQ28" s="2184"/>
    </row>
    <row r="29" spans="1:95" ht="16.5" thickBot="1">
      <c r="A29" s="1685"/>
      <c r="B29" s="2193"/>
      <c r="C29" s="2194"/>
      <c r="D29" s="2195"/>
      <c r="E29" s="1494" t="s">
        <v>2025</v>
      </c>
      <c r="F29" s="1612" t="s">
        <v>168</v>
      </c>
      <c r="G29" s="1612" t="s">
        <v>208</v>
      </c>
      <c r="H29" s="1612" t="s">
        <v>209</v>
      </c>
      <c r="I29" s="1613" t="s">
        <v>171</v>
      </c>
      <c r="J29" s="1494" t="s">
        <v>2025</v>
      </c>
      <c r="K29" s="1612" t="s">
        <v>168</v>
      </c>
      <c r="L29" s="1612" t="s">
        <v>208</v>
      </c>
      <c r="M29" s="1612" t="s">
        <v>209</v>
      </c>
      <c r="N29" s="1613" t="s">
        <v>171</v>
      </c>
      <c r="O29" s="1611" t="s">
        <v>2025</v>
      </c>
      <c r="P29" s="1612" t="s">
        <v>168</v>
      </c>
      <c r="Q29" s="1612" t="s">
        <v>208</v>
      </c>
      <c r="R29" s="1612" t="s">
        <v>209</v>
      </c>
      <c r="S29" s="1613" t="s">
        <v>171</v>
      </c>
      <c r="T29" s="1686"/>
      <c r="U29" s="2193"/>
      <c r="V29" s="2194"/>
      <c r="W29" s="2195"/>
      <c r="X29" s="1494" t="s">
        <v>2025</v>
      </c>
      <c r="Y29" s="1612" t="s">
        <v>168</v>
      </c>
      <c r="Z29" s="1612" t="s">
        <v>208</v>
      </c>
      <c r="AA29" s="1612" t="s">
        <v>209</v>
      </c>
      <c r="AB29" s="1613" t="s">
        <v>171</v>
      </c>
      <c r="AC29" s="1494" t="s">
        <v>2025</v>
      </c>
      <c r="AD29" s="1612" t="s">
        <v>168</v>
      </c>
      <c r="AE29" s="1612" t="s">
        <v>208</v>
      </c>
      <c r="AF29" s="1612" t="s">
        <v>209</v>
      </c>
      <c r="AG29" s="1613" t="s">
        <v>171</v>
      </c>
      <c r="AH29" s="1611" t="s">
        <v>2025</v>
      </c>
      <c r="AI29" s="1612" t="s">
        <v>168</v>
      </c>
      <c r="AJ29" s="1612" t="s">
        <v>208</v>
      </c>
      <c r="AK29" s="1612" t="s">
        <v>209</v>
      </c>
      <c r="AL29" s="1613" t="s">
        <v>171</v>
      </c>
      <c r="AM29" s="1686"/>
      <c r="AN29" s="2193"/>
      <c r="AO29" s="2194"/>
      <c r="AP29" s="2195"/>
      <c r="AQ29" s="1494" t="s">
        <v>2025</v>
      </c>
      <c r="AR29" s="1612" t="s">
        <v>168</v>
      </c>
      <c r="AS29" s="1612" t="s">
        <v>208</v>
      </c>
      <c r="AT29" s="1612" t="s">
        <v>209</v>
      </c>
      <c r="AU29" s="1613" t="s">
        <v>171</v>
      </c>
      <c r="AV29" s="1494" t="s">
        <v>2025</v>
      </c>
      <c r="AW29" s="1612" t="s">
        <v>168</v>
      </c>
      <c r="AX29" s="1612" t="s">
        <v>208</v>
      </c>
      <c r="AY29" s="1612" t="s">
        <v>209</v>
      </c>
      <c r="AZ29" s="1613" t="s">
        <v>171</v>
      </c>
      <c r="BA29" s="1611" t="s">
        <v>2025</v>
      </c>
      <c r="BB29" s="1612" t="s">
        <v>168</v>
      </c>
      <c r="BC29" s="1612" t="s">
        <v>208</v>
      </c>
      <c r="BD29" s="1612" t="s">
        <v>209</v>
      </c>
      <c r="BE29" s="1613" t="s">
        <v>171</v>
      </c>
      <c r="BF29" s="1685"/>
      <c r="BG29" s="2193"/>
      <c r="BH29" s="2194"/>
      <c r="BI29" s="2195"/>
      <c r="BJ29" s="1494" t="s">
        <v>2025</v>
      </c>
      <c r="BK29" s="1612" t="s">
        <v>168</v>
      </c>
      <c r="BL29" s="1612" t="s">
        <v>208</v>
      </c>
      <c r="BM29" s="1612" t="s">
        <v>209</v>
      </c>
      <c r="BN29" s="1613" t="s">
        <v>171</v>
      </c>
      <c r="BO29" s="1494" t="s">
        <v>2025</v>
      </c>
      <c r="BP29" s="1612" t="s">
        <v>168</v>
      </c>
      <c r="BQ29" s="1612" t="s">
        <v>208</v>
      </c>
      <c r="BR29" s="1612" t="s">
        <v>209</v>
      </c>
      <c r="BS29" s="1613" t="s">
        <v>171</v>
      </c>
      <c r="BT29" s="1611" t="s">
        <v>2025</v>
      </c>
      <c r="BU29" s="1612" t="s">
        <v>168</v>
      </c>
      <c r="BV29" s="1612" t="s">
        <v>208</v>
      </c>
      <c r="BW29" s="1612" t="s">
        <v>209</v>
      </c>
      <c r="BX29" s="1613" t="s">
        <v>171</v>
      </c>
      <c r="BY29" s="1686"/>
      <c r="BZ29" s="2193"/>
      <c r="CA29" s="2194"/>
      <c r="CB29" s="2195"/>
      <c r="CC29" s="1494" t="s">
        <v>2025</v>
      </c>
      <c r="CD29" s="1612" t="s">
        <v>168</v>
      </c>
      <c r="CE29" s="1612" t="s">
        <v>208</v>
      </c>
      <c r="CF29" s="1612" t="s">
        <v>209</v>
      </c>
      <c r="CG29" s="1613" t="s">
        <v>171</v>
      </c>
      <c r="CH29" s="1494" t="s">
        <v>2025</v>
      </c>
      <c r="CI29" s="1612" t="s">
        <v>168</v>
      </c>
      <c r="CJ29" s="1612" t="s">
        <v>208</v>
      </c>
      <c r="CK29" s="1612" t="s">
        <v>209</v>
      </c>
      <c r="CL29" s="1613" t="s">
        <v>171</v>
      </c>
      <c r="CM29" s="1611" t="s">
        <v>2025</v>
      </c>
      <c r="CN29" s="1612" t="s">
        <v>168</v>
      </c>
      <c r="CO29" s="1612" t="s">
        <v>208</v>
      </c>
      <c r="CP29" s="1612" t="s">
        <v>209</v>
      </c>
      <c r="CQ29" s="1613" t="s">
        <v>171</v>
      </c>
    </row>
    <row r="30" spans="1:95" ht="15.75">
      <c r="A30" s="1685"/>
      <c r="B30" s="1688" t="s">
        <v>234</v>
      </c>
      <c r="C30" s="1689" t="s">
        <v>2039</v>
      </c>
      <c r="D30" s="1690" t="s">
        <v>241</v>
      </c>
      <c r="E30" s="1695">
        <f>E32+E36+E37+E38</f>
        <v>0</v>
      </c>
      <c r="F30" s="1692">
        <f>F31+F36+F37+F38</f>
        <v>0</v>
      </c>
      <c r="G30" s="1692">
        <f t="shared" ref="G30:I30" si="131">G31+G36+G37+G38</f>
        <v>0</v>
      </c>
      <c r="H30" s="1692">
        <f t="shared" si="131"/>
        <v>0</v>
      </c>
      <c r="I30" s="1693">
        <f t="shared" si="131"/>
        <v>0</v>
      </c>
      <c r="J30" s="1695">
        <f>J32+J36+J37+J38</f>
        <v>0</v>
      </c>
      <c r="K30" s="1692">
        <f>K31+K36+K37+K38</f>
        <v>0</v>
      </c>
      <c r="L30" s="1692">
        <f t="shared" ref="L30:N30" si="132">L31+L36+L37+L38</f>
        <v>0</v>
      </c>
      <c r="M30" s="1692">
        <f t="shared" si="132"/>
        <v>0</v>
      </c>
      <c r="N30" s="1694">
        <f t="shared" si="132"/>
        <v>0</v>
      </c>
      <c r="O30" s="1695">
        <f>O32+O36+O37+O38</f>
        <v>0</v>
      </c>
      <c r="P30" s="1692">
        <f>P31+P36+P37+P38</f>
        <v>0</v>
      </c>
      <c r="Q30" s="1692">
        <f>Q31+Q36+Q37+Q38</f>
        <v>0</v>
      </c>
      <c r="R30" s="1692">
        <f t="shared" ref="R30:S30" si="133">R31+R36+R37+R38</f>
        <v>0</v>
      </c>
      <c r="S30" s="1693">
        <f t="shared" si="133"/>
        <v>0</v>
      </c>
      <c r="T30" s="1686"/>
      <c r="U30" s="1688" t="s">
        <v>234</v>
      </c>
      <c r="V30" s="1689" t="s">
        <v>2039</v>
      </c>
      <c r="W30" s="1690" t="s">
        <v>241</v>
      </c>
      <c r="X30" s="1695">
        <f>X32+X36+X37+X38</f>
        <v>0</v>
      </c>
      <c r="Y30" s="1692">
        <f>Y31+Y36+Y37+Y38</f>
        <v>0</v>
      </c>
      <c r="Z30" s="1692">
        <f t="shared" ref="Z30:AB30" si="134">Z31+Z36+Z37+Z38</f>
        <v>0</v>
      </c>
      <c r="AA30" s="1692">
        <f t="shared" si="134"/>
        <v>0</v>
      </c>
      <c r="AB30" s="1693">
        <f t="shared" si="134"/>
        <v>0</v>
      </c>
      <c r="AC30" s="1695">
        <f>AC32+AC36+AC37+AC38</f>
        <v>0</v>
      </c>
      <c r="AD30" s="1692">
        <f>AD31+AD36+AD37+AD38</f>
        <v>0</v>
      </c>
      <c r="AE30" s="1692">
        <f t="shared" ref="AE30:AG30" si="135">AE31+AE36+AE37+AE38</f>
        <v>0</v>
      </c>
      <c r="AF30" s="1692">
        <f t="shared" si="135"/>
        <v>0</v>
      </c>
      <c r="AG30" s="1694">
        <f t="shared" si="135"/>
        <v>0</v>
      </c>
      <c r="AH30" s="1695">
        <f>AH32+AH36+AH37+AH38</f>
        <v>0</v>
      </c>
      <c r="AI30" s="1692">
        <f>AI31+AI36+AI37+AI38</f>
        <v>0</v>
      </c>
      <c r="AJ30" s="1692">
        <f>AJ31+AJ36+AJ37+AJ38</f>
        <v>0</v>
      </c>
      <c r="AK30" s="1692">
        <f t="shared" ref="AK30:AL30" si="136">AK31+AK36+AK37+AK38</f>
        <v>0</v>
      </c>
      <c r="AL30" s="1693">
        <f t="shared" si="136"/>
        <v>0</v>
      </c>
      <c r="AM30" s="1686"/>
      <c r="AN30" s="1688" t="s">
        <v>234</v>
      </c>
      <c r="AO30" s="1689" t="s">
        <v>2039</v>
      </c>
      <c r="AP30" s="1690" t="s">
        <v>241</v>
      </c>
      <c r="AQ30" s="1695">
        <f>AQ32+AQ36+AQ37+AQ38</f>
        <v>0</v>
      </c>
      <c r="AR30" s="1692">
        <f>AR31+AR36+AR37+AR38</f>
        <v>0</v>
      </c>
      <c r="AS30" s="1692">
        <f t="shared" ref="AS30:AU30" si="137">AS31+AS36+AS37+AS38</f>
        <v>0</v>
      </c>
      <c r="AT30" s="1692">
        <f t="shared" si="137"/>
        <v>0</v>
      </c>
      <c r="AU30" s="1693">
        <f t="shared" si="137"/>
        <v>0</v>
      </c>
      <c r="AV30" s="1695">
        <f>AV32+AV36+AV37+AV38</f>
        <v>0</v>
      </c>
      <c r="AW30" s="1692">
        <f>AW31+AW36+AW37+AW38</f>
        <v>0</v>
      </c>
      <c r="AX30" s="1692">
        <f t="shared" ref="AX30:AZ30" si="138">AX31+AX36+AX37+AX38</f>
        <v>0</v>
      </c>
      <c r="AY30" s="1692">
        <f t="shared" si="138"/>
        <v>0</v>
      </c>
      <c r="AZ30" s="1694">
        <f t="shared" si="138"/>
        <v>0</v>
      </c>
      <c r="BA30" s="1695">
        <f>BA32+BA36+BA37+BA38</f>
        <v>0</v>
      </c>
      <c r="BB30" s="1692">
        <f>BB31+BB36+BB37+BB38</f>
        <v>0</v>
      </c>
      <c r="BC30" s="1692">
        <f>BC31+BC36+BC37+BC38</f>
        <v>0</v>
      </c>
      <c r="BD30" s="1692">
        <f t="shared" ref="BD30:BE30" si="139">BD31+BD36+BD37+BD38</f>
        <v>0</v>
      </c>
      <c r="BE30" s="1693">
        <f t="shared" si="139"/>
        <v>0</v>
      </c>
      <c r="BF30" s="1685"/>
      <c r="BG30" s="1688" t="s">
        <v>234</v>
      </c>
      <c r="BH30" s="1689" t="s">
        <v>2039</v>
      </c>
      <c r="BI30" s="1690" t="s">
        <v>241</v>
      </c>
      <c r="BJ30" s="1695">
        <f>BJ32+BJ36+BJ37+BJ38</f>
        <v>0</v>
      </c>
      <c r="BK30" s="1692">
        <f>BK31+BK36+BK37+BK38</f>
        <v>0</v>
      </c>
      <c r="BL30" s="1692">
        <f t="shared" ref="BL30:BN30" si="140">BL31+BL36+BL37+BL38</f>
        <v>0</v>
      </c>
      <c r="BM30" s="1692">
        <f t="shared" si="140"/>
        <v>0</v>
      </c>
      <c r="BN30" s="1693">
        <f t="shared" si="140"/>
        <v>0</v>
      </c>
      <c r="BO30" s="1695">
        <f>BO32+BO36+BO37+BO38</f>
        <v>0</v>
      </c>
      <c r="BP30" s="1692">
        <f>BP31+BP36+BP37+BP38</f>
        <v>0</v>
      </c>
      <c r="BQ30" s="1692">
        <f t="shared" ref="BQ30:BS30" si="141">BQ31+BQ36+BQ37+BQ38</f>
        <v>0</v>
      </c>
      <c r="BR30" s="1692">
        <f t="shared" si="141"/>
        <v>0</v>
      </c>
      <c r="BS30" s="1694">
        <f t="shared" si="141"/>
        <v>0</v>
      </c>
      <c r="BT30" s="1695">
        <f>BT32+BT36+BT37+BT38</f>
        <v>0</v>
      </c>
      <c r="BU30" s="1692">
        <f>BU31+BU36+BU37+BU38</f>
        <v>0</v>
      </c>
      <c r="BV30" s="1692">
        <f>BV31+BV36+BV37+BV38</f>
        <v>0</v>
      </c>
      <c r="BW30" s="1692">
        <f t="shared" ref="BW30:BX30" si="142">BW31+BW36+BW37+BW38</f>
        <v>0</v>
      </c>
      <c r="BX30" s="1693">
        <f t="shared" si="142"/>
        <v>0</v>
      </c>
      <c r="BY30" s="1686"/>
      <c r="BZ30" s="1688" t="s">
        <v>234</v>
      </c>
      <c r="CA30" s="1689" t="s">
        <v>2039</v>
      </c>
      <c r="CB30" s="1690" t="s">
        <v>241</v>
      </c>
      <c r="CC30" s="1695">
        <f>CC32+CC36+CC37+CC38</f>
        <v>0</v>
      </c>
      <c r="CD30" s="1692">
        <f>CD31+CD36+CD37+CD38</f>
        <v>0</v>
      </c>
      <c r="CE30" s="1692">
        <f t="shared" ref="CE30:CG30" si="143">CE31+CE36+CE37+CE38</f>
        <v>0</v>
      </c>
      <c r="CF30" s="1692">
        <f t="shared" si="143"/>
        <v>0</v>
      </c>
      <c r="CG30" s="1693">
        <f t="shared" si="143"/>
        <v>0</v>
      </c>
      <c r="CH30" s="1695">
        <f>CH32+CH36+CH37+CH38</f>
        <v>0</v>
      </c>
      <c r="CI30" s="1692">
        <f>CI31+CI36+CI37+CI38</f>
        <v>0</v>
      </c>
      <c r="CJ30" s="1692">
        <f t="shared" ref="CJ30:CL30" si="144">CJ31+CJ36+CJ37+CJ38</f>
        <v>0</v>
      </c>
      <c r="CK30" s="1692">
        <f t="shared" si="144"/>
        <v>0</v>
      </c>
      <c r="CL30" s="1694">
        <f t="shared" si="144"/>
        <v>0</v>
      </c>
      <c r="CM30" s="1695">
        <f>CM32+CM36+CM37+CM38</f>
        <v>0</v>
      </c>
      <c r="CN30" s="1692">
        <f>CN31+CN36+CN37+CN38</f>
        <v>0</v>
      </c>
      <c r="CO30" s="1692">
        <f>CO31+CO36+CO37+CO38</f>
        <v>0</v>
      </c>
      <c r="CP30" s="1692">
        <f t="shared" ref="CP30:CQ30" si="145">CP31+CP36+CP37+CP38</f>
        <v>0</v>
      </c>
      <c r="CQ30" s="1693">
        <f t="shared" si="145"/>
        <v>0</v>
      </c>
    </row>
    <row r="31" spans="1:95">
      <c r="A31" s="1685"/>
      <c r="B31" s="1697" t="s">
        <v>267</v>
      </c>
      <c r="C31" s="1526" t="s">
        <v>2027</v>
      </c>
      <c r="D31" s="1589" t="s">
        <v>241</v>
      </c>
      <c r="E31" s="1701">
        <f>SUM(F31:I31)</f>
        <v>0</v>
      </c>
      <c r="F31" s="1699">
        <f>SUM(F32:F35)</f>
        <v>0</v>
      </c>
      <c r="G31" s="1699">
        <f t="shared" ref="G31:I31" si="146">SUM(G32:G35)</f>
        <v>0</v>
      </c>
      <c r="H31" s="1699">
        <f t="shared" si="146"/>
        <v>0</v>
      </c>
      <c r="I31" s="1700">
        <f t="shared" si="146"/>
        <v>0</v>
      </c>
      <c r="J31" s="1701">
        <f>SUM(K31:N31)</f>
        <v>0</v>
      </c>
      <c r="K31" s="1699">
        <f>SUM(K32:K35)</f>
        <v>0</v>
      </c>
      <c r="L31" s="1699">
        <f t="shared" ref="L31:N31" si="147">SUM(L32:L35)</f>
        <v>0</v>
      </c>
      <c r="M31" s="1699">
        <f t="shared" si="147"/>
        <v>0</v>
      </c>
      <c r="N31" s="1700">
        <f t="shared" si="147"/>
        <v>0</v>
      </c>
      <c r="O31" s="1701">
        <f>SUM(P31:S31)</f>
        <v>0</v>
      </c>
      <c r="P31" s="1699">
        <f>SUM(P32:P35)</f>
        <v>0</v>
      </c>
      <c r="Q31" s="1699">
        <f t="shared" ref="Q31:S31" si="148">SUM(Q32:Q35)</f>
        <v>0</v>
      </c>
      <c r="R31" s="1699">
        <f t="shared" si="148"/>
        <v>0</v>
      </c>
      <c r="S31" s="1700">
        <f t="shared" si="148"/>
        <v>0</v>
      </c>
      <c r="T31" s="1686"/>
      <c r="U31" s="1697" t="s">
        <v>267</v>
      </c>
      <c r="V31" s="1526" t="s">
        <v>2027</v>
      </c>
      <c r="W31" s="1589" t="s">
        <v>241</v>
      </c>
      <c r="X31" s="1701">
        <f>SUM(Y31:AB31)</f>
        <v>0</v>
      </c>
      <c r="Y31" s="1699">
        <f>SUM(Y32:Y35)</f>
        <v>0</v>
      </c>
      <c r="Z31" s="1699">
        <f t="shared" ref="Z31:AB31" si="149">SUM(Z32:Z35)</f>
        <v>0</v>
      </c>
      <c r="AA31" s="1699">
        <f t="shared" si="149"/>
        <v>0</v>
      </c>
      <c r="AB31" s="1700">
        <f t="shared" si="149"/>
        <v>0</v>
      </c>
      <c r="AC31" s="1701">
        <f>SUM(AD31:AG31)</f>
        <v>0</v>
      </c>
      <c r="AD31" s="1699">
        <f>SUM(AD32:AD35)</f>
        <v>0</v>
      </c>
      <c r="AE31" s="1699">
        <f t="shared" ref="AE31:AG31" si="150">SUM(AE32:AE35)</f>
        <v>0</v>
      </c>
      <c r="AF31" s="1699">
        <f t="shared" si="150"/>
        <v>0</v>
      </c>
      <c r="AG31" s="1700">
        <f t="shared" si="150"/>
        <v>0</v>
      </c>
      <c r="AH31" s="1701">
        <f>SUM(AI31:AL31)</f>
        <v>0</v>
      </c>
      <c r="AI31" s="1699">
        <f>SUM(AI32:AI35)</f>
        <v>0</v>
      </c>
      <c r="AJ31" s="1699">
        <f t="shared" ref="AJ31:AL31" si="151">SUM(AJ32:AJ35)</f>
        <v>0</v>
      </c>
      <c r="AK31" s="1699">
        <f t="shared" si="151"/>
        <v>0</v>
      </c>
      <c r="AL31" s="1700">
        <f t="shared" si="151"/>
        <v>0</v>
      </c>
      <c r="AM31" s="1686"/>
      <c r="AN31" s="1697" t="s">
        <v>267</v>
      </c>
      <c r="AO31" s="1526" t="s">
        <v>2027</v>
      </c>
      <c r="AP31" s="1589" t="s">
        <v>241</v>
      </c>
      <c r="AQ31" s="1701">
        <f>SUM(AR31:AU31)</f>
        <v>0</v>
      </c>
      <c r="AR31" s="1699">
        <f>SUM(AR32:AR35)</f>
        <v>0</v>
      </c>
      <c r="AS31" s="1699">
        <f t="shared" ref="AS31:AU31" si="152">SUM(AS32:AS35)</f>
        <v>0</v>
      </c>
      <c r="AT31" s="1699">
        <f t="shared" si="152"/>
        <v>0</v>
      </c>
      <c r="AU31" s="1700">
        <f t="shared" si="152"/>
        <v>0</v>
      </c>
      <c r="AV31" s="1701">
        <f>SUM(AW31:AZ31)</f>
        <v>0</v>
      </c>
      <c r="AW31" s="1699">
        <f>SUM(AW32:AW35)</f>
        <v>0</v>
      </c>
      <c r="AX31" s="1699">
        <f t="shared" ref="AX31:AZ31" si="153">SUM(AX32:AX35)</f>
        <v>0</v>
      </c>
      <c r="AY31" s="1699">
        <f t="shared" si="153"/>
        <v>0</v>
      </c>
      <c r="AZ31" s="1700">
        <f t="shared" si="153"/>
        <v>0</v>
      </c>
      <c r="BA31" s="1701">
        <f>SUM(BB31:BE31)</f>
        <v>0</v>
      </c>
      <c r="BB31" s="1699">
        <f>SUM(BB32:BB35)</f>
        <v>0</v>
      </c>
      <c r="BC31" s="1699">
        <f t="shared" ref="BC31:BE31" si="154">SUM(BC32:BC35)</f>
        <v>0</v>
      </c>
      <c r="BD31" s="1699">
        <f t="shared" si="154"/>
        <v>0</v>
      </c>
      <c r="BE31" s="1700">
        <f t="shared" si="154"/>
        <v>0</v>
      </c>
      <c r="BF31" s="1685"/>
      <c r="BG31" s="1697" t="s">
        <v>267</v>
      </c>
      <c r="BH31" s="1526" t="s">
        <v>2027</v>
      </c>
      <c r="BI31" s="1589" t="s">
        <v>241</v>
      </c>
      <c r="BJ31" s="1701">
        <f>SUM(BK31:BN31)</f>
        <v>0</v>
      </c>
      <c r="BK31" s="1699">
        <f>SUM(BK32:BK35)</f>
        <v>0</v>
      </c>
      <c r="BL31" s="1699">
        <f t="shared" ref="BL31:BN31" si="155">SUM(BL32:BL35)</f>
        <v>0</v>
      </c>
      <c r="BM31" s="1699">
        <f t="shared" si="155"/>
        <v>0</v>
      </c>
      <c r="BN31" s="1700">
        <f t="shared" si="155"/>
        <v>0</v>
      </c>
      <c r="BO31" s="1701">
        <f>SUM(BP31:BS31)</f>
        <v>0</v>
      </c>
      <c r="BP31" s="1699">
        <f>SUM(BP32:BP35)</f>
        <v>0</v>
      </c>
      <c r="BQ31" s="1699">
        <f t="shared" ref="BQ31:BS31" si="156">SUM(BQ32:BQ35)</f>
        <v>0</v>
      </c>
      <c r="BR31" s="1699">
        <f t="shared" si="156"/>
        <v>0</v>
      </c>
      <c r="BS31" s="1700">
        <f t="shared" si="156"/>
        <v>0</v>
      </c>
      <c r="BT31" s="1701">
        <f>SUM(BU31:BX31)</f>
        <v>0</v>
      </c>
      <c r="BU31" s="1699">
        <f>SUM(BU32:BU35)</f>
        <v>0</v>
      </c>
      <c r="BV31" s="1699">
        <f t="shared" ref="BV31:BX31" si="157">SUM(BV32:BV35)</f>
        <v>0</v>
      </c>
      <c r="BW31" s="1699">
        <f t="shared" si="157"/>
        <v>0</v>
      </c>
      <c r="BX31" s="1700">
        <f t="shared" si="157"/>
        <v>0</v>
      </c>
      <c r="BY31" s="1686"/>
      <c r="BZ31" s="1697" t="s">
        <v>267</v>
      </c>
      <c r="CA31" s="1526" t="s">
        <v>2027</v>
      </c>
      <c r="CB31" s="1589" t="s">
        <v>241</v>
      </c>
      <c r="CC31" s="1701">
        <f>SUM(CD31:CG31)</f>
        <v>0</v>
      </c>
      <c r="CD31" s="1699">
        <f>SUM(CD32:CD35)</f>
        <v>0</v>
      </c>
      <c r="CE31" s="1699">
        <f t="shared" ref="CE31:CG31" si="158">SUM(CE32:CE35)</f>
        <v>0</v>
      </c>
      <c r="CF31" s="1699">
        <f t="shared" si="158"/>
        <v>0</v>
      </c>
      <c r="CG31" s="1700">
        <f t="shared" si="158"/>
        <v>0</v>
      </c>
      <c r="CH31" s="1701">
        <f>SUM(CI31:CL31)</f>
        <v>0</v>
      </c>
      <c r="CI31" s="1699">
        <f>SUM(CI32:CI35)</f>
        <v>0</v>
      </c>
      <c r="CJ31" s="1699">
        <f t="shared" ref="CJ31:CL31" si="159">SUM(CJ32:CJ35)</f>
        <v>0</v>
      </c>
      <c r="CK31" s="1699">
        <f t="shared" si="159"/>
        <v>0</v>
      </c>
      <c r="CL31" s="1700">
        <f t="shared" si="159"/>
        <v>0</v>
      </c>
      <c r="CM31" s="1701">
        <f>SUM(CN31:CQ31)</f>
        <v>0</v>
      </c>
      <c r="CN31" s="1699">
        <f>SUM(CN32:CN35)</f>
        <v>0</v>
      </c>
      <c r="CO31" s="1699">
        <f t="shared" ref="CO31:CQ31" si="160">SUM(CO32:CO35)</f>
        <v>0</v>
      </c>
      <c r="CP31" s="1699">
        <f t="shared" si="160"/>
        <v>0</v>
      </c>
      <c r="CQ31" s="1700">
        <f t="shared" si="160"/>
        <v>0</v>
      </c>
    </row>
    <row r="32" spans="1:95">
      <c r="A32" s="1685"/>
      <c r="B32" s="1697" t="s">
        <v>319</v>
      </c>
      <c r="C32" s="1702" t="s">
        <v>2028</v>
      </c>
      <c r="D32" s="1589" t="s">
        <v>241</v>
      </c>
      <c r="E32" s="1701">
        <f>SUM(F32:I32)</f>
        <v>0</v>
      </c>
      <c r="F32" s="1531"/>
      <c r="G32" s="1531"/>
      <c r="H32" s="1531"/>
      <c r="I32" s="1703"/>
      <c r="J32" s="1701">
        <f>SUM(K32:N32)</f>
        <v>0</v>
      </c>
      <c r="K32" s="1531"/>
      <c r="L32" s="1531"/>
      <c r="M32" s="1531"/>
      <c r="N32" s="1703"/>
      <c r="O32" s="1701">
        <f>SUM(P32:S32)</f>
        <v>0</v>
      </c>
      <c r="P32" s="1699">
        <f>K32/2+F32/2</f>
        <v>0</v>
      </c>
      <c r="Q32" s="1699">
        <f t="shared" ref="Q32:S32" si="161">L32/2+G32/2</f>
        <v>0</v>
      </c>
      <c r="R32" s="1699">
        <f t="shared" si="161"/>
        <v>0</v>
      </c>
      <c r="S32" s="1700">
        <f t="shared" si="161"/>
        <v>0</v>
      </c>
      <c r="T32" s="1686"/>
      <c r="U32" s="1697" t="s">
        <v>319</v>
      </c>
      <c r="V32" s="1702" t="s">
        <v>2028</v>
      </c>
      <c r="W32" s="1589" t="s">
        <v>241</v>
      </c>
      <c r="X32" s="1701">
        <f>SUM(Y32:AB32)</f>
        <v>0</v>
      </c>
      <c r="Y32" s="1531"/>
      <c r="Z32" s="1531"/>
      <c r="AA32" s="1531"/>
      <c r="AB32" s="1703"/>
      <c r="AC32" s="1701">
        <f>SUM(AD32:AG32)</f>
        <v>0</v>
      </c>
      <c r="AD32" s="1531"/>
      <c r="AE32" s="1531"/>
      <c r="AF32" s="1531"/>
      <c r="AG32" s="1703"/>
      <c r="AH32" s="1701">
        <f>SUM(AI32:AL32)</f>
        <v>0</v>
      </c>
      <c r="AI32" s="1699">
        <f>AD32/2+Y32/2</f>
        <v>0</v>
      </c>
      <c r="AJ32" s="1699">
        <f t="shared" ref="AJ32" si="162">AE32/2+Z32/2</f>
        <v>0</v>
      </c>
      <c r="AK32" s="1699">
        <f t="shared" ref="AK32" si="163">AF32/2+AA32/2</f>
        <v>0</v>
      </c>
      <c r="AL32" s="1700">
        <f t="shared" ref="AL32" si="164">AG32/2+AB32/2</f>
        <v>0</v>
      </c>
      <c r="AM32" s="1686"/>
      <c r="AN32" s="1697" t="s">
        <v>319</v>
      </c>
      <c r="AO32" s="1702" t="s">
        <v>2028</v>
      </c>
      <c r="AP32" s="1589" t="s">
        <v>241</v>
      </c>
      <c r="AQ32" s="1701">
        <f>SUM(AR32:AU32)</f>
        <v>0</v>
      </c>
      <c r="AR32" s="1531"/>
      <c r="AS32" s="1531"/>
      <c r="AT32" s="1531"/>
      <c r="AU32" s="1703"/>
      <c r="AV32" s="1701">
        <f>SUM(AW32:AZ32)</f>
        <v>0</v>
      </c>
      <c r="AW32" s="1531"/>
      <c r="AX32" s="1531"/>
      <c r="AY32" s="1531"/>
      <c r="AZ32" s="1703"/>
      <c r="BA32" s="1701">
        <f>SUM(BB32:BE32)</f>
        <v>0</v>
      </c>
      <c r="BB32" s="1699">
        <f>AW32/2+AR32/2</f>
        <v>0</v>
      </c>
      <c r="BC32" s="1699">
        <f t="shared" ref="BC32" si="165">AX32/2+AS32/2</f>
        <v>0</v>
      </c>
      <c r="BD32" s="1699">
        <f t="shared" ref="BD32" si="166">AY32/2+AT32/2</f>
        <v>0</v>
      </c>
      <c r="BE32" s="1700">
        <f t="shared" ref="BE32" si="167">AZ32/2+AU32/2</f>
        <v>0</v>
      </c>
      <c r="BF32" s="1685"/>
      <c r="BG32" s="1697" t="s">
        <v>319</v>
      </c>
      <c r="BH32" s="1702" t="s">
        <v>2028</v>
      </c>
      <c r="BI32" s="1589" t="s">
        <v>241</v>
      </c>
      <c r="BJ32" s="1701">
        <f>SUM(BK32:BN32)</f>
        <v>0</v>
      </c>
      <c r="BK32" s="1531"/>
      <c r="BL32" s="1531"/>
      <c r="BM32" s="1531"/>
      <c r="BN32" s="1703"/>
      <c r="BO32" s="1701">
        <f>SUM(BP32:BS32)</f>
        <v>0</v>
      </c>
      <c r="BP32" s="1531"/>
      <c r="BQ32" s="1531"/>
      <c r="BR32" s="1531"/>
      <c r="BS32" s="1703"/>
      <c r="BT32" s="1701">
        <f>SUM(BU32:BX32)</f>
        <v>0</v>
      </c>
      <c r="BU32" s="1699">
        <f>BP32/2+BK32/2</f>
        <v>0</v>
      </c>
      <c r="BV32" s="1699">
        <f t="shared" ref="BV32" si="168">BQ32/2+BL32/2</f>
        <v>0</v>
      </c>
      <c r="BW32" s="1699">
        <f t="shared" ref="BW32" si="169">BR32/2+BM32/2</f>
        <v>0</v>
      </c>
      <c r="BX32" s="1700">
        <f t="shared" ref="BX32" si="170">BS32/2+BN32/2</f>
        <v>0</v>
      </c>
      <c r="BY32" s="1686"/>
      <c r="BZ32" s="1697" t="s">
        <v>319</v>
      </c>
      <c r="CA32" s="1702" t="s">
        <v>2028</v>
      </c>
      <c r="CB32" s="1589" t="s">
        <v>241</v>
      </c>
      <c r="CC32" s="1701">
        <f>SUM(CD32:CG32)</f>
        <v>0</v>
      </c>
      <c r="CD32" s="1531"/>
      <c r="CE32" s="1531"/>
      <c r="CF32" s="1531"/>
      <c r="CG32" s="1703"/>
      <c r="CH32" s="1701">
        <f>SUM(CI32:CL32)</f>
        <v>0</v>
      </c>
      <c r="CI32" s="1531"/>
      <c r="CJ32" s="1531"/>
      <c r="CK32" s="1531"/>
      <c r="CL32" s="1703"/>
      <c r="CM32" s="1701">
        <f>SUM(CN32:CQ32)</f>
        <v>0</v>
      </c>
      <c r="CN32" s="1699">
        <f>CI32/2+CD32/2</f>
        <v>0</v>
      </c>
      <c r="CO32" s="1699">
        <f t="shared" ref="CO32" si="171">CJ32/2+CE32/2</f>
        <v>0</v>
      </c>
      <c r="CP32" s="1699">
        <f t="shared" ref="CP32" si="172">CK32/2+CF32/2</f>
        <v>0</v>
      </c>
      <c r="CQ32" s="1700">
        <f t="shared" ref="CQ32" si="173">CL32/2+CG32/2</f>
        <v>0</v>
      </c>
    </row>
    <row r="33" spans="1:95">
      <c r="A33" s="1685"/>
      <c r="B33" s="1697" t="s">
        <v>321</v>
      </c>
      <c r="C33" s="1702" t="s">
        <v>168</v>
      </c>
      <c r="D33" s="1589" t="s">
        <v>241</v>
      </c>
      <c r="E33" s="1707"/>
      <c r="F33" s="1705"/>
      <c r="G33" s="1706">
        <f>G39+G41+G42+H34+I34-G32-G36-G37-G38</f>
        <v>0</v>
      </c>
      <c r="H33" s="1706">
        <f>H39+H41+H42+I35-H34-H36-H37-H38-H32</f>
        <v>0</v>
      </c>
      <c r="I33" s="1528"/>
      <c r="J33" s="1707"/>
      <c r="K33" s="1705"/>
      <c r="L33" s="1706">
        <f>L39+L41+L42+M34+N34-L32-L36-L37-L38</f>
        <v>0</v>
      </c>
      <c r="M33" s="1706">
        <f>M39+M41+M42+N35-M34-M36-M37-M38-M32</f>
        <v>0</v>
      </c>
      <c r="N33" s="1528"/>
      <c r="O33" s="1707"/>
      <c r="P33" s="1705"/>
      <c r="Q33" s="1699">
        <f>Q39+Q41+Q42+R34+S34-Q32-Q36-Q37-Q38</f>
        <v>0</v>
      </c>
      <c r="R33" s="1699">
        <f>R39+R41+R42+S35-R34-R36-R37-R38-R32</f>
        <v>0</v>
      </c>
      <c r="S33" s="1528"/>
      <c r="T33" s="1686"/>
      <c r="U33" s="1697" t="s">
        <v>321</v>
      </c>
      <c r="V33" s="1702" t="s">
        <v>168</v>
      </c>
      <c r="W33" s="1589" t="s">
        <v>241</v>
      </c>
      <c r="X33" s="1707"/>
      <c r="Y33" s="1705"/>
      <c r="Z33" s="1706">
        <f>Z39+Z41+Z42+AA34+AB34-Z32-Z36-Z37-Z38</f>
        <v>0</v>
      </c>
      <c r="AA33" s="1706">
        <f>AA39+AA41+AA42+AB35-AA34-AA36-AA37-AA38-AA32</f>
        <v>0</v>
      </c>
      <c r="AB33" s="1528"/>
      <c r="AC33" s="1707"/>
      <c r="AD33" s="1705"/>
      <c r="AE33" s="1706">
        <f>AE39+AE41+AE42+AF34+AG34-AE32-AE36-AE37-AE38</f>
        <v>0</v>
      </c>
      <c r="AF33" s="1706">
        <f>AF39+AF41+AF42+AG35-AF34-AF36-AF37-AF38-AF32</f>
        <v>0</v>
      </c>
      <c r="AG33" s="1528"/>
      <c r="AH33" s="1707"/>
      <c r="AI33" s="1705"/>
      <c r="AJ33" s="1699">
        <f>AJ39+AJ41+AJ42+AK34+AL34-AJ32-AJ36-AJ37-AJ38</f>
        <v>0</v>
      </c>
      <c r="AK33" s="1699">
        <f>AK39+AK41+AK42+AL35-AK34-AK36-AK37-AK38-AK32</f>
        <v>0</v>
      </c>
      <c r="AL33" s="1528"/>
      <c r="AM33" s="1686"/>
      <c r="AN33" s="1697" t="s">
        <v>321</v>
      </c>
      <c r="AO33" s="1702" t="s">
        <v>168</v>
      </c>
      <c r="AP33" s="1589" t="s">
        <v>241</v>
      </c>
      <c r="AQ33" s="1707"/>
      <c r="AR33" s="1705"/>
      <c r="AS33" s="1706">
        <f>AS39+AS41+AS42+AT34+AU34-AS32-AS36-AS37-AS38</f>
        <v>0</v>
      </c>
      <c r="AT33" s="1706">
        <f>AT39+AT41+AT42+AU35-AT34-AT36-AT37-AT38-AT32</f>
        <v>0</v>
      </c>
      <c r="AU33" s="1528"/>
      <c r="AV33" s="1707"/>
      <c r="AW33" s="1705"/>
      <c r="AX33" s="1706">
        <f>AX39+AX41+AX42+AY34+AZ34-AX32-AX36-AX37-AX38</f>
        <v>0</v>
      </c>
      <c r="AY33" s="1706">
        <f>AY39+AY41+AY42+AZ35-AY34-AY36-AY37-AY38-AY32</f>
        <v>0</v>
      </c>
      <c r="AZ33" s="1528"/>
      <c r="BA33" s="1707"/>
      <c r="BB33" s="1705"/>
      <c r="BC33" s="1699">
        <f>BC39+BC41+BC42+BD34+BE34-BC32-BC36-BC37-BC38</f>
        <v>0</v>
      </c>
      <c r="BD33" s="1699">
        <f>BD39+BD41+BD42+BE35-BD34-BD36-BD37-BD38-BD32</f>
        <v>0</v>
      </c>
      <c r="BE33" s="1528"/>
      <c r="BF33" s="1685"/>
      <c r="BG33" s="1697" t="s">
        <v>321</v>
      </c>
      <c r="BH33" s="1702" t="s">
        <v>168</v>
      </c>
      <c r="BI33" s="1589" t="s">
        <v>241</v>
      </c>
      <c r="BJ33" s="1707"/>
      <c r="BK33" s="1705"/>
      <c r="BL33" s="1706">
        <f>BL39+BL41+BL42+BM34+BN34-BL32-BL36-BL37-BL38</f>
        <v>0</v>
      </c>
      <c r="BM33" s="1706">
        <f>BM39+BM41+BM42+BN35-BM34-BM36-BM37-BM38-BM32</f>
        <v>0</v>
      </c>
      <c r="BN33" s="1528"/>
      <c r="BO33" s="1707"/>
      <c r="BP33" s="1705"/>
      <c r="BQ33" s="1706">
        <f>BQ39+BQ41+BQ42+BR34+BS34-BQ32-BQ36-BQ37-BQ38</f>
        <v>0</v>
      </c>
      <c r="BR33" s="1706">
        <f>BR39+BR41+BR42+BS35-BR34-BR36-BR37-BR38-BR32</f>
        <v>0</v>
      </c>
      <c r="BS33" s="1528"/>
      <c r="BT33" s="1707"/>
      <c r="BU33" s="1705"/>
      <c r="BV33" s="1699">
        <f>BV39+BV41+BV42+BW34+BX34-BV32-BV36-BV37-BV38</f>
        <v>0</v>
      </c>
      <c r="BW33" s="1699">
        <f>BW39+BW41+BW42+BX35-BW34-BW36-BW37-BW38-BW32</f>
        <v>0</v>
      </c>
      <c r="BX33" s="1528"/>
      <c r="BY33" s="1686"/>
      <c r="BZ33" s="1697" t="s">
        <v>321</v>
      </c>
      <c r="CA33" s="1702" t="s">
        <v>168</v>
      </c>
      <c r="CB33" s="1589" t="s">
        <v>241</v>
      </c>
      <c r="CC33" s="1707"/>
      <c r="CD33" s="1705"/>
      <c r="CE33" s="1706">
        <f>CE39+CE41+CE42+CF34+CG34-CE32-CE36-CE37-CE38</f>
        <v>0</v>
      </c>
      <c r="CF33" s="1706">
        <f>CF39+CF41+CF42+CG35-CF34-CF36-CF37-CF38-CF32</f>
        <v>0</v>
      </c>
      <c r="CG33" s="1528"/>
      <c r="CH33" s="1707"/>
      <c r="CI33" s="1705"/>
      <c r="CJ33" s="1706">
        <f>CJ39+CJ41+CJ42+CK34+CL34-CJ32-CJ36-CJ37-CJ38</f>
        <v>0</v>
      </c>
      <c r="CK33" s="1706">
        <f>CK39+CK41+CK42+CL35-CK34-CK36-CK37-CK38-CK32</f>
        <v>0</v>
      </c>
      <c r="CL33" s="1528"/>
      <c r="CM33" s="1707"/>
      <c r="CN33" s="1705"/>
      <c r="CO33" s="1699">
        <f>CO39+CO41+CO42+CP34+CQ34-CO32-CO36-CO37-CO38</f>
        <v>0</v>
      </c>
      <c r="CP33" s="1699">
        <f>CP39+CP41+CP42+CQ35-CP34-CP36-CP37-CP38-CP32</f>
        <v>0</v>
      </c>
      <c r="CQ33" s="1528"/>
    </row>
    <row r="34" spans="1:95">
      <c r="A34" s="1685"/>
      <c r="B34" s="1697" t="s">
        <v>1122</v>
      </c>
      <c r="C34" s="1702" t="s">
        <v>208</v>
      </c>
      <c r="D34" s="1589" t="s">
        <v>241</v>
      </c>
      <c r="E34" s="1707"/>
      <c r="F34" s="1705"/>
      <c r="G34" s="1529"/>
      <c r="H34" s="1531"/>
      <c r="I34" s="1703"/>
      <c r="J34" s="1707"/>
      <c r="K34" s="1705"/>
      <c r="L34" s="1529"/>
      <c r="M34" s="1531"/>
      <c r="N34" s="1703"/>
      <c r="O34" s="1707"/>
      <c r="P34" s="1705"/>
      <c r="Q34" s="1529"/>
      <c r="R34" s="1699">
        <f>M34/2+H34/2</f>
        <v>0</v>
      </c>
      <c r="S34" s="1700">
        <f>N34/2+I34/2</f>
        <v>0</v>
      </c>
      <c r="T34" s="1686"/>
      <c r="U34" s="1697" t="s">
        <v>1122</v>
      </c>
      <c r="V34" s="1702" t="s">
        <v>208</v>
      </c>
      <c r="W34" s="1589" t="s">
        <v>241</v>
      </c>
      <c r="X34" s="1707"/>
      <c r="Y34" s="1705"/>
      <c r="Z34" s="1529"/>
      <c r="AA34" s="1531"/>
      <c r="AB34" s="1703"/>
      <c r="AC34" s="1707"/>
      <c r="AD34" s="1705"/>
      <c r="AE34" s="1529"/>
      <c r="AF34" s="1531"/>
      <c r="AG34" s="1703"/>
      <c r="AH34" s="1707"/>
      <c r="AI34" s="1705"/>
      <c r="AJ34" s="1529"/>
      <c r="AK34" s="1699">
        <f>AF34/2+AA34/2</f>
        <v>0</v>
      </c>
      <c r="AL34" s="1700">
        <f>AG34/2+AB34/2</f>
        <v>0</v>
      </c>
      <c r="AM34" s="1686"/>
      <c r="AN34" s="1697" t="s">
        <v>1122</v>
      </c>
      <c r="AO34" s="1702" t="s">
        <v>208</v>
      </c>
      <c r="AP34" s="1589" t="s">
        <v>241</v>
      </c>
      <c r="AQ34" s="1707"/>
      <c r="AR34" s="1705"/>
      <c r="AS34" s="1529"/>
      <c r="AT34" s="1531"/>
      <c r="AU34" s="1703"/>
      <c r="AV34" s="1707"/>
      <c r="AW34" s="1705"/>
      <c r="AX34" s="1529"/>
      <c r="AY34" s="1531"/>
      <c r="AZ34" s="1703"/>
      <c r="BA34" s="1707"/>
      <c r="BB34" s="1705"/>
      <c r="BC34" s="1529"/>
      <c r="BD34" s="1699">
        <f>AY34/2+AT34/2</f>
        <v>0</v>
      </c>
      <c r="BE34" s="1700">
        <f>AZ34/2+AU34/2</f>
        <v>0</v>
      </c>
      <c r="BF34" s="1685"/>
      <c r="BG34" s="1697" t="s">
        <v>1122</v>
      </c>
      <c r="BH34" s="1702" t="s">
        <v>208</v>
      </c>
      <c r="BI34" s="1589" t="s">
        <v>241</v>
      </c>
      <c r="BJ34" s="1707"/>
      <c r="BK34" s="1705"/>
      <c r="BL34" s="1529"/>
      <c r="BM34" s="1531"/>
      <c r="BN34" s="1703"/>
      <c r="BO34" s="1707"/>
      <c r="BP34" s="1705"/>
      <c r="BQ34" s="1529"/>
      <c r="BR34" s="1531"/>
      <c r="BS34" s="1703"/>
      <c r="BT34" s="1707"/>
      <c r="BU34" s="1705"/>
      <c r="BV34" s="1529"/>
      <c r="BW34" s="1699">
        <f>BR34/2+BM34/2</f>
        <v>0</v>
      </c>
      <c r="BX34" s="1700">
        <f>BS34/2+BN34/2</f>
        <v>0</v>
      </c>
      <c r="BY34" s="1686"/>
      <c r="BZ34" s="1697" t="s">
        <v>1122</v>
      </c>
      <c r="CA34" s="1702" t="s">
        <v>208</v>
      </c>
      <c r="CB34" s="1589" t="s">
        <v>241</v>
      </c>
      <c r="CC34" s="1707"/>
      <c r="CD34" s="1705"/>
      <c r="CE34" s="1529"/>
      <c r="CF34" s="1531"/>
      <c r="CG34" s="1703"/>
      <c r="CH34" s="1707"/>
      <c r="CI34" s="1705"/>
      <c r="CJ34" s="1529"/>
      <c r="CK34" s="1531"/>
      <c r="CL34" s="1703"/>
      <c r="CM34" s="1707"/>
      <c r="CN34" s="1705"/>
      <c r="CO34" s="1529"/>
      <c r="CP34" s="1699">
        <f>CK34/2+CF34/2</f>
        <v>0</v>
      </c>
      <c r="CQ34" s="1700">
        <f>CL34/2+CG34/2</f>
        <v>0</v>
      </c>
    </row>
    <row r="35" spans="1:95">
      <c r="A35" s="1685"/>
      <c r="B35" s="1697" t="s">
        <v>2029</v>
      </c>
      <c r="C35" s="1702" t="s">
        <v>209</v>
      </c>
      <c r="D35" s="1589" t="s">
        <v>241</v>
      </c>
      <c r="E35" s="1707"/>
      <c r="F35" s="1705"/>
      <c r="G35" s="1529"/>
      <c r="H35" s="1529"/>
      <c r="I35" s="1710">
        <f>I39+I41+I42-I34-I32-I38-I37-I36</f>
        <v>0</v>
      </c>
      <c r="J35" s="1707"/>
      <c r="K35" s="1705"/>
      <c r="L35" s="1529"/>
      <c r="M35" s="1529"/>
      <c r="N35" s="1710">
        <f>N39+N41+N42-N34-N32-N38-N37-N36</f>
        <v>0</v>
      </c>
      <c r="O35" s="1707"/>
      <c r="P35" s="1705"/>
      <c r="Q35" s="1529"/>
      <c r="R35" s="1529"/>
      <c r="S35" s="1700">
        <f>S39+S41+S42-S34-S32-S38-S37-S36</f>
        <v>0</v>
      </c>
      <c r="T35" s="1686"/>
      <c r="U35" s="1697" t="s">
        <v>2029</v>
      </c>
      <c r="V35" s="1702" t="s">
        <v>209</v>
      </c>
      <c r="W35" s="1589" t="s">
        <v>241</v>
      </c>
      <c r="X35" s="1707"/>
      <c r="Y35" s="1705"/>
      <c r="Z35" s="1529"/>
      <c r="AA35" s="1529"/>
      <c r="AB35" s="1710">
        <f>AB39+AB41+AB42-AB34-AB32-AB38-AB37-AB36</f>
        <v>0</v>
      </c>
      <c r="AC35" s="1707"/>
      <c r="AD35" s="1705"/>
      <c r="AE35" s="1529"/>
      <c r="AF35" s="1529"/>
      <c r="AG35" s="1710">
        <f>AG39+AG41+AG42-AG34-AG32-AG38-AG37-AG36</f>
        <v>0</v>
      </c>
      <c r="AH35" s="1707"/>
      <c r="AI35" s="1705"/>
      <c r="AJ35" s="1529"/>
      <c r="AK35" s="1529"/>
      <c r="AL35" s="1700">
        <f>AL39+AL41+AL42-AL34-AL32-AL38-AL37-AL36</f>
        <v>0</v>
      </c>
      <c r="AM35" s="1686"/>
      <c r="AN35" s="1697" t="s">
        <v>2029</v>
      </c>
      <c r="AO35" s="1702" t="s">
        <v>209</v>
      </c>
      <c r="AP35" s="1589" t="s">
        <v>241</v>
      </c>
      <c r="AQ35" s="1707"/>
      <c r="AR35" s="1705"/>
      <c r="AS35" s="1529"/>
      <c r="AT35" s="1529"/>
      <c r="AU35" s="1710">
        <f>AU39+AU41+AU42-AU34-AU32-AU38-AU37-AU36</f>
        <v>0</v>
      </c>
      <c r="AV35" s="1707"/>
      <c r="AW35" s="1705"/>
      <c r="AX35" s="1529"/>
      <c r="AY35" s="1529"/>
      <c r="AZ35" s="1710">
        <f>AZ39+AZ41+AZ42-AZ34-AZ32-AZ38-AZ37-AZ36</f>
        <v>0</v>
      </c>
      <c r="BA35" s="1707"/>
      <c r="BB35" s="1705"/>
      <c r="BC35" s="1529"/>
      <c r="BD35" s="1529"/>
      <c r="BE35" s="1700">
        <f>BE39+BE41+BE42-BE34-BE32-BE38-BE37-BE36</f>
        <v>0</v>
      </c>
      <c r="BF35" s="1685"/>
      <c r="BG35" s="1697" t="s">
        <v>2029</v>
      </c>
      <c r="BH35" s="1702" t="s">
        <v>209</v>
      </c>
      <c r="BI35" s="1589" t="s">
        <v>241</v>
      </c>
      <c r="BJ35" s="1707"/>
      <c r="BK35" s="1705"/>
      <c r="BL35" s="1529"/>
      <c r="BM35" s="1529"/>
      <c r="BN35" s="1710">
        <f>BN39+BN41+BN42-BN34-BN32-BN38-BN37-BN36</f>
        <v>0</v>
      </c>
      <c r="BO35" s="1707"/>
      <c r="BP35" s="1705"/>
      <c r="BQ35" s="1529"/>
      <c r="BR35" s="1529"/>
      <c r="BS35" s="1710">
        <f>BS39+BS41+BS42-BS34-BS32-BS38-BS37-BS36</f>
        <v>0</v>
      </c>
      <c r="BT35" s="1707"/>
      <c r="BU35" s="1705"/>
      <c r="BV35" s="1529"/>
      <c r="BW35" s="1529"/>
      <c r="BX35" s="1700">
        <f>BX39+BX41+BX42-BX34-BX32-BX38-BX37-BX36</f>
        <v>0</v>
      </c>
      <c r="BY35" s="1686"/>
      <c r="BZ35" s="1697" t="s">
        <v>2029</v>
      </c>
      <c r="CA35" s="1702" t="s">
        <v>209</v>
      </c>
      <c r="CB35" s="1589" t="s">
        <v>241</v>
      </c>
      <c r="CC35" s="1707"/>
      <c r="CD35" s="1705"/>
      <c r="CE35" s="1529"/>
      <c r="CF35" s="1529"/>
      <c r="CG35" s="1710">
        <f>CG39+CG41+CG42-CG34-CG32-CG38-CG37-CG36</f>
        <v>0</v>
      </c>
      <c r="CH35" s="1707"/>
      <c r="CI35" s="1705"/>
      <c r="CJ35" s="1529"/>
      <c r="CK35" s="1529"/>
      <c r="CL35" s="1710">
        <f>CL39+CL41+CL42-CL34-CL32-CL38-CL37-CL36</f>
        <v>0</v>
      </c>
      <c r="CM35" s="1707"/>
      <c r="CN35" s="1705"/>
      <c r="CO35" s="1529"/>
      <c r="CP35" s="1529"/>
      <c r="CQ35" s="1700">
        <f>CQ39+CQ41+CQ42-CQ34-CQ32-CQ38-CQ37-CQ36</f>
        <v>0</v>
      </c>
    </row>
    <row r="36" spans="1:95">
      <c r="A36" s="1685"/>
      <c r="B36" s="1697" t="s">
        <v>269</v>
      </c>
      <c r="C36" s="1526" t="s">
        <v>2030</v>
      </c>
      <c r="D36" s="1589" t="s">
        <v>241</v>
      </c>
      <c r="E36" s="1701">
        <f t="shared" ref="E36:E39" si="174">SUM(F36:I36)</f>
        <v>0</v>
      </c>
      <c r="F36" s="1531"/>
      <c r="G36" s="1531"/>
      <c r="H36" s="1531"/>
      <c r="I36" s="1703"/>
      <c r="J36" s="1701">
        <f t="shared" ref="J36:J39" si="175">SUM(K36:N36)</f>
        <v>0</v>
      </c>
      <c r="K36" s="1531"/>
      <c r="L36" s="1531"/>
      <c r="M36" s="1531"/>
      <c r="N36" s="1703"/>
      <c r="O36" s="1701">
        <f t="shared" ref="O36:O39" si="176">SUM(P36:S36)</f>
        <v>0</v>
      </c>
      <c r="P36" s="1699">
        <f t="shared" ref="P36:S39" si="177">K36/2+F36/2</f>
        <v>0</v>
      </c>
      <c r="Q36" s="1699">
        <f t="shared" si="177"/>
        <v>0</v>
      </c>
      <c r="R36" s="1699">
        <f t="shared" si="177"/>
        <v>0</v>
      </c>
      <c r="S36" s="1700">
        <f t="shared" si="177"/>
        <v>0</v>
      </c>
      <c r="T36" s="1686"/>
      <c r="U36" s="1697" t="s">
        <v>269</v>
      </c>
      <c r="V36" s="1526" t="s">
        <v>2030</v>
      </c>
      <c r="W36" s="1589" t="s">
        <v>241</v>
      </c>
      <c r="X36" s="1701">
        <f t="shared" ref="X36:X39" si="178">SUM(Y36:AB36)</f>
        <v>0</v>
      </c>
      <c r="Y36" s="1531"/>
      <c r="Z36" s="1531"/>
      <c r="AA36" s="1531"/>
      <c r="AB36" s="1703"/>
      <c r="AC36" s="1701">
        <f t="shared" ref="AC36:AC39" si="179">SUM(AD36:AG36)</f>
        <v>0</v>
      </c>
      <c r="AD36" s="1531"/>
      <c r="AE36" s="1531"/>
      <c r="AF36" s="1531"/>
      <c r="AG36" s="1703"/>
      <c r="AH36" s="1701">
        <f t="shared" ref="AH36:AH39" si="180">SUM(AI36:AL36)</f>
        <v>0</v>
      </c>
      <c r="AI36" s="1699">
        <f t="shared" ref="AI36:AI39" si="181">AD36/2+Y36/2</f>
        <v>0</v>
      </c>
      <c r="AJ36" s="1699">
        <f t="shared" ref="AJ36:AJ39" si="182">AE36/2+Z36/2</f>
        <v>0</v>
      </c>
      <c r="AK36" s="1699">
        <f t="shared" ref="AK36:AK39" si="183">AF36/2+AA36/2</f>
        <v>0</v>
      </c>
      <c r="AL36" s="1700">
        <f t="shared" ref="AL36:AL39" si="184">AG36/2+AB36/2</f>
        <v>0</v>
      </c>
      <c r="AM36" s="1686"/>
      <c r="AN36" s="1697" t="s">
        <v>269</v>
      </c>
      <c r="AO36" s="1526" t="s">
        <v>2030</v>
      </c>
      <c r="AP36" s="1589" t="s">
        <v>241</v>
      </c>
      <c r="AQ36" s="1701">
        <f t="shared" ref="AQ36:AQ39" si="185">SUM(AR36:AU36)</f>
        <v>0</v>
      </c>
      <c r="AR36" s="1531"/>
      <c r="AS36" s="1531"/>
      <c r="AT36" s="1531"/>
      <c r="AU36" s="1703"/>
      <c r="AV36" s="1701">
        <f t="shared" ref="AV36:AV39" si="186">SUM(AW36:AZ36)</f>
        <v>0</v>
      </c>
      <c r="AW36" s="1531"/>
      <c r="AX36" s="1531"/>
      <c r="AY36" s="1531"/>
      <c r="AZ36" s="1703"/>
      <c r="BA36" s="1701">
        <f t="shared" ref="BA36:BA39" si="187">SUM(BB36:BE36)</f>
        <v>0</v>
      </c>
      <c r="BB36" s="1699">
        <f t="shared" ref="BB36:BB39" si="188">AW36/2+AR36/2</f>
        <v>0</v>
      </c>
      <c r="BC36" s="1699">
        <f t="shared" ref="BC36:BC39" si="189">AX36/2+AS36/2</f>
        <v>0</v>
      </c>
      <c r="BD36" s="1699">
        <f t="shared" ref="BD36:BD39" si="190">AY36/2+AT36/2</f>
        <v>0</v>
      </c>
      <c r="BE36" s="1700">
        <f t="shared" ref="BE36:BE39" si="191">AZ36/2+AU36/2</f>
        <v>0</v>
      </c>
      <c r="BF36" s="1685"/>
      <c r="BG36" s="1697" t="s">
        <v>269</v>
      </c>
      <c r="BH36" s="1526" t="s">
        <v>2030</v>
      </c>
      <c r="BI36" s="1589" t="s">
        <v>241</v>
      </c>
      <c r="BJ36" s="1701">
        <f t="shared" ref="BJ36:BJ39" si="192">SUM(BK36:BN36)</f>
        <v>0</v>
      </c>
      <c r="BK36" s="1531"/>
      <c r="BL36" s="1531"/>
      <c r="BM36" s="1531"/>
      <c r="BN36" s="1703"/>
      <c r="BO36" s="1701">
        <f t="shared" ref="BO36:BO39" si="193">SUM(BP36:BS36)</f>
        <v>0</v>
      </c>
      <c r="BP36" s="1531"/>
      <c r="BQ36" s="1531"/>
      <c r="BR36" s="1531"/>
      <c r="BS36" s="1703"/>
      <c r="BT36" s="1701">
        <f t="shared" ref="BT36:BT39" si="194">SUM(BU36:BX36)</f>
        <v>0</v>
      </c>
      <c r="BU36" s="1699">
        <f t="shared" ref="BU36:BU39" si="195">BP36/2+BK36/2</f>
        <v>0</v>
      </c>
      <c r="BV36" s="1699">
        <f t="shared" ref="BV36:BV39" si="196">BQ36/2+BL36/2</f>
        <v>0</v>
      </c>
      <c r="BW36" s="1699">
        <f t="shared" ref="BW36:BW39" si="197">BR36/2+BM36/2</f>
        <v>0</v>
      </c>
      <c r="BX36" s="1700">
        <f t="shared" ref="BX36:BX39" si="198">BS36/2+BN36/2</f>
        <v>0</v>
      </c>
      <c r="BY36" s="1686"/>
      <c r="BZ36" s="1697" t="s">
        <v>269</v>
      </c>
      <c r="CA36" s="1526" t="s">
        <v>2030</v>
      </c>
      <c r="CB36" s="1589" t="s">
        <v>241</v>
      </c>
      <c r="CC36" s="1701">
        <f t="shared" ref="CC36:CC39" si="199">SUM(CD36:CG36)</f>
        <v>0</v>
      </c>
      <c r="CD36" s="1531"/>
      <c r="CE36" s="1531"/>
      <c r="CF36" s="1531"/>
      <c r="CG36" s="1703"/>
      <c r="CH36" s="1701">
        <f t="shared" ref="CH36:CH39" si="200">SUM(CI36:CL36)</f>
        <v>0</v>
      </c>
      <c r="CI36" s="1531"/>
      <c r="CJ36" s="1531"/>
      <c r="CK36" s="1531"/>
      <c r="CL36" s="1703"/>
      <c r="CM36" s="1701">
        <f t="shared" ref="CM36:CM39" si="201">SUM(CN36:CQ36)</f>
        <v>0</v>
      </c>
      <c r="CN36" s="1699">
        <f t="shared" ref="CN36:CN39" si="202">CI36/2+CD36/2</f>
        <v>0</v>
      </c>
      <c r="CO36" s="1699">
        <f t="shared" ref="CO36:CO39" si="203">CJ36/2+CE36/2</f>
        <v>0</v>
      </c>
      <c r="CP36" s="1699">
        <f t="shared" ref="CP36:CP39" si="204">CK36/2+CF36/2</f>
        <v>0</v>
      </c>
      <c r="CQ36" s="1700">
        <f t="shared" ref="CQ36:CQ39" si="205">CL36/2+CG36/2</f>
        <v>0</v>
      </c>
    </row>
    <row r="37" spans="1:95">
      <c r="A37" s="1685"/>
      <c r="B37" s="1697" t="s">
        <v>270</v>
      </c>
      <c r="C37" s="1526" t="s">
        <v>2031</v>
      </c>
      <c r="D37" s="1589" t="s">
        <v>241</v>
      </c>
      <c r="E37" s="1701">
        <f t="shared" si="174"/>
        <v>0</v>
      </c>
      <c r="F37" s="1531"/>
      <c r="G37" s="1531"/>
      <c r="H37" s="1531"/>
      <c r="I37" s="1703"/>
      <c r="J37" s="1701">
        <f t="shared" si="175"/>
        <v>0</v>
      </c>
      <c r="K37" s="1531"/>
      <c r="L37" s="1531"/>
      <c r="M37" s="1531"/>
      <c r="N37" s="1703"/>
      <c r="O37" s="1701">
        <f t="shared" si="176"/>
        <v>0</v>
      </c>
      <c r="P37" s="1699">
        <f t="shared" si="177"/>
        <v>0</v>
      </c>
      <c r="Q37" s="1699">
        <f t="shared" si="177"/>
        <v>0</v>
      </c>
      <c r="R37" s="1699">
        <f t="shared" si="177"/>
        <v>0</v>
      </c>
      <c r="S37" s="1700">
        <f t="shared" si="177"/>
        <v>0</v>
      </c>
      <c r="T37" s="1686"/>
      <c r="U37" s="1697" t="s">
        <v>270</v>
      </c>
      <c r="V37" s="1526" t="s">
        <v>2031</v>
      </c>
      <c r="W37" s="1589" t="s">
        <v>241</v>
      </c>
      <c r="X37" s="1701">
        <f t="shared" si="178"/>
        <v>0</v>
      </c>
      <c r="Y37" s="1531"/>
      <c r="Z37" s="1531"/>
      <c r="AA37" s="1531"/>
      <c r="AB37" s="1703"/>
      <c r="AC37" s="1701">
        <f t="shared" si="179"/>
        <v>0</v>
      </c>
      <c r="AD37" s="1531"/>
      <c r="AE37" s="1531"/>
      <c r="AF37" s="1531"/>
      <c r="AG37" s="1703"/>
      <c r="AH37" s="1701">
        <f t="shared" si="180"/>
        <v>0</v>
      </c>
      <c r="AI37" s="1699">
        <f t="shared" si="181"/>
        <v>0</v>
      </c>
      <c r="AJ37" s="1699">
        <f t="shared" si="182"/>
        <v>0</v>
      </c>
      <c r="AK37" s="1699">
        <f t="shared" si="183"/>
        <v>0</v>
      </c>
      <c r="AL37" s="1700">
        <f t="shared" si="184"/>
        <v>0</v>
      </c>
      <c r="AM37" s="1686"/>
      <c r="AN37" s="1697" t="s">
        <v>270</v>
      </c>
      <c r="AO37" s="1526" t="s">
        <v>2031</v>
      </c>
      <c r="AP37" s="1589" t="s">
        <v>241</v>
      </c>
      <c r="AQ37" s="1701">
        <f t="shared" si="185"/>
        <v>0</v>
      </c>
      <c r="AR37" s="1531"/>
      <c r="AS37" s="1531"/>
      <c r="AT37" s="1531"/>
      <c r="AU37" s="1703"/>
      <c r="AV37" s="1701">
        <f t="shared" si="186"/>
        <v>0</v>
      </c>
      <c r="AW37" s="1531"/>
      <c r="AX37" s="1531"/>
      <c r="AY37" s="1531"/>
      <c r="AZ37" s="1703"/>
      <c r="BA37" s="1701">
        <f t="shared" si="187"/>
        <v>0</v>
      </c>
      <c r="BB37" s="1699">
        <f t="shared" si="188"/>
        <v>0</v>
      </c>
      <c r="BC37" s="1699">
        <f t="shared" si="189"/>
        <v>0</v>
      </c>
      <c r="BD37" s="1699">
        <f t="shared" si="190"/>
        <v>0</v>
      </c>
      <c r="BE37" s="1700">
        <f t="shared" si="191"/>
        <v>0</v>
      </c>
      <c r="BF37" s="1685"/>
      <c r="BG37" s="1697" t="s">
        <v>270</v>
      </c>
      <c r="BH37" s="1526" t="s">
        <v>2031</v>
      </c>
      <c r="BI37" s="1589" t="s">
        <v>241</v>
      </c>
      <c r="BJ37" s="1701">
        <f t="shared" si="192"/>
        <v>0</v>
      </c>
      <c r="BK37" s="1531"/>
      <c r="BL37" s="1531"/>
      <c r="BM37" s="1531"/>
      <c r="BN37" s="1703"/>
      <c r="BO37" s="1701">
        <f t="shared" si="193"/>
        <v>0</v>
      </c>
      <c r="BP37" s="1531"/>
      <c r="BQ37" s="1531"/>
      <c r="BR37" s="1531"/>
      <c r="BS37" s="1703"/>
      <c r="BT37" s="1701">
        <f t="shared" si="194"/>
        <v>0</v>
      </c>
      <c r="BU37" s="1699">
        <f t="shared" si="195"/>
        <v>0</v>
      </c>
      <c r="BV37" s="1699">
        <f t="shared" si="196"/>
        <v>0</v>
      </c>
      <c r="BW37" s="1699">
        <f t="shared" si="197"/>
        <v>0</v>
      </c>
      <c r="BX37" s="1700">
        <f t="shared" si="198"/>
        <v>0</v>
      </c>
      <c r="BY37" s="1686"/>
      <c r="BZ37" s="1697" t="s">
        <v>270</v>
      </c>
      <c r="CA37" s="1526" t="s">
        <v>2031</v>
      </c>
      <c r="CB37" s="1589" t="s">
        <v>241</v>
      </c>
      <c r="CC37" s="1701">
        <f t="shared" si="199"/>
        <v>0</v>
      </c>
      <c r="CD37" s="1531"/>
      <c r="CE37" s="1531"/>
      <c r="CF37" s="1531"/>
      <c r="CG37" s="1703"/>
      <c r="CH37" s="1701">
        <f t="shared" si="200"/>
        <v>0</v>
      </c>
      <c r="CI37" s="1531"/>
      <c r="CJ37" s="1531"/>
      <c r="CK37" s="1531"/>
      <c r="CL37" s="1703"/>
      <c r="CM37" s="1701">
        <f t="shared" si="201"/>
        <v>0</v>
      </c>
      <c r="CN37" s="1699">
        <f t="shared" si="202"/>
        <v>0</v>
      </c>
      <c r="CO37" s="1699">
        <f t="shared" si="203"/>
        <v>0</v>
      </c>
      <c r="CP37" s="1699">
        <f t="shared" si="204"/>
        <v>0</v>
      </c>
      <c r="CQ37" s="1700">
        <f t="shared" si="205"/>
        <v>0</v>
      </c>
    </row>
    <row r="38" spans="1:95">
      <c r="A38" s="1685"/>
      <c r="B38" s="1697" t="s">
        <v>286</v>
      </c>
      <c r="C38" s="1526" t="s">
        <v>2032</v>
      </c>
      <c r="D38" s="1589" t="s">
        <v>241</v>
      </c>
      <c r="E38" s="1701">
        <f t="shared" si="174"/>
        <v>0</v>
      </c>
      <c r="F38" s="1706">
        <f>E39+E41+E42-E36-E37-G38-H38-I38</f>
        <v>0</v>
      </c>
      <c r="G38" s="1531"/>
      <c r="H38" s="1531"/>
      <c r="I38" s="1703"/>
      <c r="J38" s="1701">
        <f t="shared" si="175"/>
        <v>0</v>
      </c>
      <c r="K38" s="1706">
        <f>J39+J41+J42-J36-J37-L38-M38-N38</f>
        <v>0</v>
      </c>
      <c r="L38" s="1531"/>
      <c r="M38" s="1531"/>
      <c r="N38" s="1703"/>
      <c r="O38" s="1701">
        <f t="shared" si="176"/>
        <v>0</v>
      </c>
      <c r="P38" s="1699">
        <f t="shared" si="177"/>
        <v>0</v>
      </c>
      <c r="Q38" s="1699">
        <f t="shared" si="177"/>
        <v>0</v>
      </c>
      <c r="R38" s="1699">
        <f t="shared" si="177"/>
        <v>0</v>
      </c>
      <c r="S38" s="1700">
        <f t="shared" si="177"/>
        <v>0</v>
      </c>
      <c r="T38" s="1686"/>
      <c r="U38" s="1697" t="s">
        <v>286</v>
      </c>
      <c r="V38" s="1526" t="s">
        <v>2032</v>
      </c>
      <c r="W38" s="1589" t="s">
        <v>241</v>
      </c>
      <c r="X38" s="1701">
        <f t="shared" si="178"/>
        <v>0</v>
      </c>
      <c r="Y38" s="1706">
        <f>X39+X41+X42-X36-X37-Z38-AA38-AB38</f>
        <v>0</v>
      </c>
      <c r="Z38" s="1531"/>
      <c r="AA38" s="1531"/>
      <c r="AB38" s="1703"/>
      <c r="AC38" s="1701">
        <f t="shared" si="179"/>
        <v>0</v>
      </c>
      <c r="AD38" s="1706">
        <f>AC39+AC41+AC42-AC36-AC37-AE38-AF38-AG38</f>
        <v>0</v>
      </c>
      <c r="AE38" s="1531"/>
      <c r="AF38" s="1531"/>
      <c r="AG38" s="1703"/>
      <c r="AH38" s="1701">
        <f t="shared" si="180"/>
        <v>0</v>
      </c>
      <c r="AI38" s="1699">
        <f t="shared" si="181"/>
        <v>0</v>
      </c>
      <c r="AJ38" s="1699">
        <f t="shared" si="182"/>
        <v>0</v>
      </c>
      <c r="AK38" s="1699">
        <f t="shared" si="183"/>
        <v>0</v>
      </c>
      <c r="AL38" s="1700">
        <f t="shared" si="184"/>
        <v>0</v>
      </c>
      <c r="AM38" s="1686"/>
      <c r="AN38" s="1697" t="s">
        <v>286</v>
      </c>
      <c r="AO38" s="1526" t="s">
        <v>2032</v>
      </c>
      <c r="AP38" s="1589" t="s">
        <v>241</v>
      </c>
      <c r="AQ38" s="1701">
        <f t="shared" si="185"/>
        <v>0</v>
      </c>
      <c r="AR38" s="1706">
        <f>AQ39+AQ41+AQ42-AQ36-AQ37-AS38-AT38-AU38</f>
        <v>0</v>
      </c>
      <c r="AS38" s="1531"/>
      <c r="AT38" s="1531"/>
      <c r="AU38" s="1703"/>
      <c r="AV38" s="1701">
        <f t="shared" si="186"/>
        <v>0</v>
      </c>
      <c r="AW38" s="1706">
        <f>AV39+AV41+AV42-AV36-AV37-AX38-AY38-AZ38</f>
        <v>0</v>
      </c>
      <c r="AX38" s="1531"/>
      <c r="AY38" s="1531"/>
      <c r="AZ38" s="1703"/>
      <c r="BA38" s="1701">
        <f t="shared" si="187"/>
        <v>0</v>
      </c>
      <c r="BB38" s="1699">
        <f t="shared" si="188"/>
        <v>0</v>
      </c>
      <c r="BC38" s="1699">
        <f t="shared" si="189"/>
        <v>0</v>
      </c>
      <c r="BD38" s="1699">
        <f t="shared" si="190"/>
        <v>0</v>
      </c>
      <c r="BE38" s="1700">
        <f t="shared" si="191"/>
        <v>0</v>
      </c>
      <c r="BF38" s="1685"/>
      <c r="BG38" s="1697" t="s">
        <v>286</v>
      </c>
      <c r="BH38" s="1526" t="s">
        <v>2032</v>
      </c>
      <c r="BI38" s="1589" t="s">
        <v>241</v>
      </c>
      <c r="BJ38" s="1701">
        <f t="shared" si="192"/>
        <v>0</v>
      </c>
      <c r="BK38" s="1706">
        <f>BJ39+BJ41+BJ42-BJ36-BJ37-BL38-BM38-BN38</f>
        <v>0</v>
      </c>
      <c r="BL38" s="1531"/>
      <c r="BM38" s="1531"/>
      <c r="BN38" s="1703"/>
      <c r="BO38" s="1701">
        <f t="shared" si="193"/>
        <v>0</v>
      </c>
      <c r="BP38" s="1706">
        <f>BO39+BO41+BO42-BO36-BO37-BQ38-BR38-BS38</f>
        <v>0</v>
      </c>
      <c r="BQ38" s="1531"/>
      <c r="BR38" s="1531"/>
      <c r="BS38" s="1703"/>
      <c r="BT38" s="1701">
        <f t="shared" si="194"/>
        <v>0</v>
      </c>
      <c r="BU38" s="1699">
        <f t="shared" si="195"/>
        <v>0</v>
      </c>
      <c r="BV38" s="1699">
        <f t="shared" si="196"/>
        <v>0</v>
      </c>
      <c r="BW38" s="1699">
        <f t="shared" si="197"/>
        <v>0</v>
      </c>
      <c r="BX38" s="1700">
        <f t="shared" si="198"/>
        <v>0</v>
      </c>
      <c r="BY38" s="1686"/>
      <c r="BZ38" s="1697" t="s">
        <v>286</v>
      </c>
      <c r="CA38" s="1526" t="s">
        <v>2032</v>
      </c>
      <c r="CB38" s="1589" t="s">
        <v>241</v>
      </c>
      <c r="CC38" s="1701">
        <f t="shared" si="199"/>
        <v>0</v>
      </c>
      <c r="CD38" s="1706">
        <f>CC39+CC41+CC42-CC36-CC37-CE38-CF38-CG38</f>
        <v>0</v>
      </c>
      <c r="CE38" s="1531"/>
      <c r="CF38" s="1531"/>
      <c r="CG38" s="1703"/>
      <c r="CH38" s="1701">
        <f t="shared" si="200"/>
        <v>0</v>
      </c>
      <c r="CI38" s="1706">
        <f>CH39+CH41+CH42-CH36-CH37-CJ38-CK38-CL38</f>
        <v>0</v>
      </c>
      <c r="CJ38" s="1531"/>
      <c r="CK38" s="1531"/>
      <c r="CL38" s="1703"/>
      <c r="CM38" s="1701">
        <f t="shared" si="201"/>
        <v>0</v>
      </c>
      <c r="CN38" s="1699">
        <f t="shared" si="202"/>
        <v>0</v>
      </c>
      <c r="CO38" s="1699">
        <f t="shared" si="203"/>
        <v>0</v>
      </c>
      <c r="CP38" s="1699">
        <f t="shared" si="204"/>
        <v>0</v>
      </c>
      <c r="CQ38" s="1700">
        <f t="shared" si="205"/>
        <v>0</v>
      </c>
    </row>
    <row r="39" spans="1:95" s="1519" customFormat="1" ht="15.75">
      <c r="A39" s="1687"/>
      <c r="B39" s="1523" t="s">
        <v>237</v>
      </c>
      <c r="C39" s="1521" t="s">
        <v>2040</v>
      </c>
      <c r="D39" s="1711" t="s">
        <v>241</v>
      </c>
      <c r="E39" s="1713">
        <f t="shared" si="174"/>
        <v>0</v>
      </c>
      <c r="F39" s="1708"/>
      <c r="G39" s="1708"/>
      <c r="H39" s="1708"/>
      <c r="I39" s="1709"/>
      <c r="J39" s="1713">
        <f t="shared" si="175"/>
        <v>0</v>
      </c>
      <c r="K39" s="1708"/>
      <c r="L39" s="1708"/>
      <c r="M39" s="1708"/>
      <c r="N39" s="1709"/>
      <c r="O39" s="1713">
        <f t="shared" si="176"/>
        <v>0</v>
      </c>
      <c r="P39" s="1714">
        <f t="shared" si="177"/>
        <v>0</v>
      </c>
      <c r="Q39" s="1714">
        <f t="shared" si="177"/>
        <v>0</v>
      </c>
      <c r="R39" s="1714">
        <f t="shared" si="177"/>
        <v>0</v>
      </c>
      <c r="S39" s="1715">
        <f t="shared" si="177"/>
        <v>0</v>
      </c>
      <c r="T39" s="1696"/>
      <c r="U39" s="1523" t="s">
        <v>237</v>
      </c>
      <c r="V39" s="1521" t="s">
        <v>2040</v>
      </c>
      <c r="W39" s="1711" t="s">
        <v>241</v>
      </c>
      <c r="X39" s="1713">
        <f t="shared" si="178"/>
        <v>0</v>
      </c>
      <c r="Y39" s="1708"/>
      <c r="Z39" s="1708"/>
      <c r="AA39" s="1708"/>
      <c r="AB39" s="1709"/>
      <c r="AC39" s="1713">
        <f t="shared" si="179"/>
        <v>0</v>
      </c>
      <c r="AD39" s="1708"/>
      <c r="AE39" s="1708"/>
      <c r="AF39" s="1708"/>
      <c r="AG39" s="1709"/>
      <c r="AH39" s="1713">
        <f t="shared" si="180"/>
        <v>0</v>
      </c>
      <c r="AI39" s="1714">
        <f t="shared" si="181"/>
        <v>0</v>
      </c>
      <c r="AJ39" s="1714">
        <f t="shared" si="182"/>
        <v>0</v>
      </c>
      <c r="AK39" s="1714">
        <f t="shared" si="183"/>
        <v>0</v>
      </c>
      <c r="AL39" s="1715">
        <f t="shared" si="184"/>
        <v>0</v>
      </c>
      <c r="AM39" s="1696"/>
      <c r="AN39" s="1523" t="s">
        <v>237</v>
      </c>
      <c r="AO39" s="1521" t="s">
        <v>2040</v>
      </c>
      <c r="AP39" s="1711" t="s">
        <v>241</v>
      </c>
      <c r="AQ39" s="1713">
        <f t="shared" si="185"/>
        <v>0</v>
      </c>
      <c r="AR39" s="1708"/>
      <c r="AS39" s="1708"/>
      <c r="AT39" s="1708"/>
      <c r="AU39" s="1709"/>
      <c r="AV39" s="1713">
        <f t="shared" si="186"/>
        <v>0</v>
      </c>
      <c r="AW39" s="1708"/>
      <c r="AX39" s="1708"/>
      <c r="AY39" s="1708"/>
      <c r="AZ39" s="1709"/>
      <c r="BA39" s="1713">
        <f t="shared" si="187"/>
        <v>0</v>
      </c>
      <c r="BB39" s="1714">
        <f t="shared" si="188"/>
        <v>0</v>
      </c>
      <c r="BC39" s="1714">
        <f t="shared" si="189"/>
        <v>0</v>
      </c>
      <c r="BD39" s="1714">
        <f t="shared" si="190"/>
        <v>0</v>
      </c>
      <c r="BE39" s="1715">
        <f t="shared" si="191"/>
        <v>0</v>
      </c>
      <c r="BF39" s="1687"/>
      <c r="BG39" s="1523" t="s">
        <v>237</v>
      </c>
      <c r="BH39" s="1521" t="s">
        <v>2040</v>
      </c>
      <c r="BI39" s="1711" t="s">
        <v>241</v>
      </c>
      <c r="BJ39" s="1713">
        <f t="shared" si="192"/>
        <v>0</v>
      </c>
      <c r="BK39" s="1708"/>
      <c r="BL39" s="1708"/>
      <c r="BM39" s="1708"/>
      <c r="BN39" s="1709"/>
      <c r="BO39" s="1713">
        <f t="shared" si="193"/>
        <v>0</v>
      </c>
      <c r="BP39" s="1708"/>
      <c r="BQ39" s="1708"/>
      <c r="BR39" s="1708"/>
      <c r="BS39" s="1709"/>
      <c r="BT39" s="1713">
        <f t="shared" si="194"/>
        <v>0</v>
      </c>
      <c r="BU39" s="1714">
        <f t="shared" si="195"/>
        <v>0</v>
      </c>
      <c r="BV39" s="1714">
        <f t="shared" si="196"/>
        <v>0</v>
      </c>
      <c r="BW39" s="1714">
        <f t="shared" si="197"/>
        <v>0</v>
      </c>
      <c r="BX39" s="1715">
        <f t="shared" si="198"/>
        <v>0</v>
      </c>
      <c r="BY39" s="1696"/>
      <c r="BZ39" s="1523" t="s">
        <v>237</v>
      </c>
      <c r="CA39" s="1521" t="s">
        <v>2040</v>
      </c>
      <c r="CB39" s="1711" t="s">
        <v>241</v>
      </c>
      <c r="CC39" s="1713">
        <f t="shared" si="199"/>
        <v>0</v>
      </c>
      <c r="CD39" s="1708"/>
      <c r="CE39" s="1708"/>
      <c r="CF39" s="1708"/>
      <c r="CG39" s="1709"/>
      <c r="CH39" s="1713">
        <f t="shared" si="200"/>
        <v>0</v>
      </c>
      <c r="CI39" s="1708"/>
      <c r="CJ39" s="1708"/>
      <c r="CK39" s="1708"/>
      <c r="CL39" s="1709"/>
      <c r="CM39" s="1713">
        <f t="shared" si="201"/>
        <v>0</v>
      </c>
      <c r="CN39" s="1714">
        <f t="shared" si="202"/>
        <v>0</v>
      </c>
      <c r="CO39" s="1714">
        <f t="shared" si="203"/>
        <v>0</v>
      </c>
      <c r="CP39" s="1714">
        <f t="shared" si="204"/>
        <v>0</v>
      </c>
      <c r="CQ39" s="1715">
        <f t="shared" si="205"/>
        <v>0</v>
      </c>
    </row>
    <row r="40" spans="1:95" ht="15.75">
      <c r="A40" s="1685"/>
      <c r="B40" s="1523" t="s">
        <v>520</v>
      </c>
      <c r="C40" s="1716" t="s">
        <v>2034</v>
      </c>
      <c r="D40" s="1711" t="s">
        <v>268</v>
      </c>
      <c r="E40" s="1713">
        <f>IF(E30=0,0,E39/E30*100)</f>
        <v>0</v>
      </c>
      <c r="F40" s="1713">
        <f t="shared" ref="F40:I40" si="206">IF(F30=0,0,F39/F30*100)</f>
        <v>0</v>
      </c>
      <c r="G40" s="1713">
        <f t="shared" si="206"/>
        <v>0</v>
      </c>
      <c r="H40" s="1713">
        <f t="shared" si="206"/>
        <v>0</v>
      </c>
      <c r="I40" s="1715">
        <f t="shared" si="206"/>
        <v>0</v>
      </c>
      <c r="J40" s="1713">
        <f>IF(J30=0,0,J39/J30*100)</f>
        <v>0</v>
      </c>
      <c r="K40" s="1713">
        <f t="shared" ref="K40:N40" si="207">IF(K30=0,0,K39/K30*100)</f>
        <v>0</v>
      </c>
      <c r="L40" s="1713">
        <f t="shared" si="207"/>
        <v>0</v>
      </c>
      <c r="M40" s="1713">
        <f t="shared" si="207"/>
        <v>0</v>
      </c>
      <c r="N40" s="1715">
        <f t="shared" si="207"/>
        <v>0</v>
      </c>
      <c r="O40" s="1713">
        <f>IF(O30=0,0,O39/O30*100)</f>
        <v>0</v>
      </c>
      <c r="P40" s="1713">
        <f t="shared" ref="P40:S40" si="208">IF(P30=0,0,P39/P30*100)</f>
        <v>0</v>
      </c>
      <c r="Q40" s="1713">
        <f t="shared" si="208"/>
        <v>0</v>
      </c>
      <c r="R40" s="1713">
        <f t="shared" si="208"/>
        <v>0</v>
      </c>
      <c r="S40" s="1715">
        <f t="shared" si="208"/>
        <v>0</v>
      </c>
      <c r="T40" s="1686"/>
      <c r="U40" s="1523" t="s">
        <v>520</v>
      </c>
      <c r="V40" s="1716" t="s">
        <v>2034</v>
      </c>
      <c r="W40" s="1711" t="s">
        <v>268</v>
      </c>
      <c r="X40" s="1713">
        <f>IF(X30=0,0,X39/X30*100)</f>
        <v>0</v>
      </c>
      <c r="Y40" s="1713">
        <f t="shared" ref="Y40:AB40" si="209">IF(Y30=0,0,Y39/Y30*100)</f>
        <v>0</v>
      </c>
      <c r="Z40" s="1713">
        <f t="shared" si="209"/>
        <v>0</v>
      </c>
      <c r="AA40" s="1713">
        <f t="shared" si="209"/>
        <v>0</v>
      </c>
      <c r="AB40" s="1715">
        <f t="shared" si="209"/>
        <v>0</v>
      </c>
      <c r="AC40" s="1713">
        <f>IF(AC30=0,0,AC39/AC30*100)</f>
        <v>0</v>
      </c>
      <c r="AD40" s="1713">
        <f t="shared" ref="AD40:AG40" si="210">IF(AD30=0,0,AD39/AD30*100)</f>
        <v>0</v>
      </c>
      <c r="AE40" s="1713">
        <f t="shared" si="210"/>
        <v>0</v>
      </c>
      <c r="AF40" s="1713">
        <f t="shared" si="210"/>
        <v>0</v>
      </c>
      <c r="AG40" s="1715">
        <f t="shared" si="210"/>
        <v>0</v>
      </c>
      <c r="AH40" s="1713">
        <f>IF(AH30=0,0,AH39/AH30*100)</f>
        <v>0</v>
      </c>
      <c r="AI40" s="1713">
        <f t="shared" ref="AI40:AL40" si="211">IF(AI30=0,0,AI39/AI30*100)</f>
        <v>0</v>
      </c>
      <c r="AJ40" s="1713">
        <f t="shared" si="211"/>
        <v>0</v>
      </c>
      <c r="AK40" s="1713">
        <f t="shared" si="211"/>
        <v>0</v>
      </c>
      <c r="AL40" s="1715">
        <f t="shared" si="211"/>
        <v>0</v>
      </c>
      <c r="AM40" s="1686"/>
      <c r="AN40" s="1523" t="s">
        <v>520</v>
      </c>
      <c r="AO40" s="1716" t="s">
        <v>2034</v>
      </c>
      <c r="AP40" s="1711" t="s">
        <v>268</v>
      </c>
      <c r="AQ40" s="1713">
        <f>IF(AQ30=0,0,AQ39/AQ30*100)</f>
        <v>0</v>
      </c>
      <c r="AR40" s="1713">
        <f t="shared" ref="AR40:AU40" si="212">IF(AR30=0,0,AR39/AR30*100)</f>
        <v>0</v>
      </c>
      <c r="AS40" s="1713">
        <f t="shared" si="212"/>
        <v>0</v>
      </c>
      <c r="AT40" s="1713">
        <f t="shared" si="212"/>
        <v>0</v>
      </c>
      <c r="AU40" s="1715">
        <f t="shared" si="212"/>
        <v>0</v>
      </c>
      <c r="AV40" s="1713">
        <f>IF(AV30=0,0,AV39/AV30*100)</f>
        <v>0</v>
      </c>
      <c r="AW40" s="1713">
        <f t="shared" ref="AW40:AZ40" si="213">IF(AW30=0,0,AW39/AW30*100)</f>
        <v>0</v>
      </c>
      <c r="AX40" s="1713">
        <f t="shared" si="213"/>
        <v>0</v>
      </c>
      <c r="AY40" s="1713">
        <f t="shared" si="213"/>
        <v>0</v>
      </c>
      <c r="AZ40" s="1715">
        <f t="shared" si="213"/>
        <v>0</v>
      </c>
      <c r="BA40" s="1713">
        <f>IF(BA30=0,0,BA39/BA30*100)</f>
        <v>0</v>
      </c>
      <c r="BB40" s="1713">
        <f t="shared" ref="BB40:BE40" si="214">IF(BB30=0,0,BB39/BB30*100)</f>
        <v>0</v>
      </c>
      <c r="BC40" s="1713">
        <f t="shared" si="214"/>
        <v>0</v>
      </c>
      <c r="BD40" s="1713">
        <f t="shared" si="214"/>
        <v>0</v>
      </c>
      <c r="BE40" s="1715">
        <f t="shared" si="214"/>
        <v>0</v>
      </c>
      <c r="BF40" s="1685"/>
      <c r="BG40" s="1523" t="s">
        <v>520</v>
      </c>
      <c r="BH40" s="1716" t="s">
        <v>2034</v>
      </c>
      <c r="BI40" s="1711" t="s">
        <v>268</v>
      </c>
      <c r="BJ40" s="1713">
        <f>IF(BJ30=0,0,BJ39/BJ30*100)</f>
        <v>0</v>
      </c>
      <c r="BK40" s="1713">
        <f t="shared" ref="BK40:BN40" si="215">IF(BK30=0,0,BK39/BK30*100)</f>
        <v>0</v>
      </c>
      <c r="BL40" s="1713">
        <f t="shared" si="215"/>
        <v>0</v>
      </c>
      <c r="BM40" s="1713">
        <f t="shared" si="215"/>
        <v>0</v>
      </c>
      <c r="BN40" s="1715">
        <f t="shared" si="215"/>
        <v>0</v>
      </c>
      <c r="BO40" s="1713">
        <f>IF(BO30=0,0,BO39/BO30*100)</f>
        <v>0</v>
      </c>
      <c r="BP40" s="1713">
        <f t="shared" ref="BP40:BS40" si="216">IF(BP30=0,0,BP39/BP30*100)</f>
        <v>0</v>
      </c>
      <c r="BQ40" s="1713">
        <f t="shared" si="216"/>
        <v>0</v>
      </c>
      <c r="BR40" s="1713">
        <f t="shared" si="216"/>
        <v>0</v>
      </c>
      <c r="BS40" s="1715">
        <f t="shared" si="216"/>
        <v>0</v>
      </c>
      <c r="BT40" s="1713">
        <f>IF(BT30=0,0,BT39/BT30*100)</f>
        <v>0</v>
      </c>
      <c r="BU40" s="1713">
        <f t="shared" ref="BU40:BX40" si="217">IF(BU30=0,0,BU39/BU30*100)</f>
        <v>0</v>
      </c>
      <c r="BV40" s="1713">
        <f t="shared" si="217"/>
        <v>0</v>
      </c>
      <c r="BW40" s="1713">
        <f t="shared" si="217"/>
        <v>0</v>
      </c>
      <c r="BX40" s="1715">
        <f t="shared" si="217"/>
        <v>0</v>
      </c>
      <c r="BY40" s="1686"/>
      <c r="BZ40" s="1523" t="s">
        <v>520</v>
      </c>
      <c r="CA40" s="1716" t="s">
        <v>2034</v>
      </c>
      <c r="CB40" s="1711" t="s">
        <v>268</v>
      </c>
      <c r="CC40" s="1713">
        <f>IF(CC30=0,0,CC39/CC30*100)</f>
        <v>0</v>
      </c>
      <c r="CD40" s="1713">
        <f t="shared" ref="CD40:CG40" si="218">IF(CD30=0,0,CD39/CD30*100)</f>
        <v>0</v>
      </c>
      <c r="CE40" s="1713">
        <f t="shared" si="218"/>
        <v>0</v>
      </c>
      <c r="CF40" s="1713">
        <f t="shared" si="218"/>
        <v>0</v>
      </c>
      <c r="CG40" s="1715">
        <f t="shared" si="218"/>
        <v>0</v>
      </c>
      <c r="CH40" s="1713">
        <f>IF(CH30=0,0,CH39/CH30*100)</f>
        <v>0</v>
      </c>
      <c r="CI40" s="1713">
        <f t="shared" ref="CI40:CL40" si="219">IF(CI30=0,0,CI39/CI30*100)</f>
        <v>0</v>
      </c>
      <c r="CJ40" s="1713">
        <f t="shared" si="219"/>
        <v>0</v>
      </c>
      <c r="CK40" s="1713">
        <f t="shared" si="219"/>
        <v>0</v>
      </c>
      <c r="CL40" s="1715">
        <f t="shared" si="219"/>
        <v>0</v>
      </c>
      <c r="CM40" s="1713">
        <f>IF(CM30=0,0,CM39/CM30*100)</f>
        <v>0</v>
      </c>
      <c r="CN40" s="1713">
        <f t="shared" ref="CN40:CQ40" si="220">IF(CN30=0,0,CN39/CN30*100)</f>
        <v>0</v>
      </c>
      <c r="CO40" s="1713">
        <f t="shared" si="220"/>
        <v>0</v>
      </c>
      <c r="CP40" s="1713">
        <f t="shared" si="220"/>
        <v>0</v>
      </c>
      <c r="CQ40" s="1715">
        <f t="shared" si="220"/>
        <v>0</v>
      </c>
    </row>
    <row r="41" spans="1:95" ht="30">
      <c r="A41" s="1685"/>
      <c r="B41" s="1697" t="s">
        <v>239</v>
      </c>
      <c r="C41" s="1717" t="s">
        <v>2041</v>
      </c>
      <c r="D41" s="1589" t="s">
        <v>241</v>
      </c>
      <c r="E41" s="1701">
        <f t="shared" ref="E41:E42" si="221">SUM(F41:I41)</f>
        <v>0</v>
      </c>
      <c r="F41" s="1531"/>
      <c r="G41" s="1531"/>
      <c r="H41" s="1531"/>
      <c r="I41" s="1703"/>
      <c r="J41" s="1701">
        <f t="shared" ref="J41:J42" si="222">SUM(K41:N41)</f>
        <v>0</v>
      </c>
      <c r="K41" s="1531"/>
      <c r="L41" s="1531"/>
      <c r="M41" s="1531"/>
      <c r="N41" s="1703"/>
      <c r="O41" s="1701">
        <f t="shared" ref="O41:O42" si="223">SUM(P41:S41)</f>
        <v>0</v>
      </c>
      <c r="P41" s="1699">
        <f t="shared" ref="P41:S43" si="224">K41/2+F41/2</f>
        <v>0</v>
      </c>
      <c r="Q41" s="1699">
        <f t="shared" si="224"/>
        <v>0</v>
      </c>
      <c r="R41" s="1699">
        <f t="shared" si="224"/>
        <v>0</v>
      </c>
      <c r="S41" s="1700">
        <f t="shared" si="224"/>
        <v>0</v>
      </c>
      <c r="T41" s="1686"/>
      <c r="U41" s="1697" t="s">
        <v>239</v>
      </c>
      <c r="V41" s="1717" t="s">
        <v>2041</v>
      </c>
      <c r="W41" s="1589" t="s">
        <v>241</v>
      </c>
      <c r="X41" s="1701">
        <f t="shared" ref="X41:X42" si="225">SUM(Y41:AB41)</f>
        <v>0</v>
      </c>
      <c r="Y41" s="1531"/>
      <c r="Z41" s="1531"/>
      <c r="AA41" s="1531"/>
      <c r="AB41" s="1703"/>
      <c r="AC41" s="1701">
        <f t="shared" ref="AC41:AC42" si="226">SUM(AD41:AG41)</f>
        <v>0</v>
      </c>
      <c r="AD41" s="1531"/>
      <c r="AE41" s="1531"/>
      <c r="AF41" s="1531"/>
      <c r="AG41" s="1703"/>
      <c r="AH41" s="1701">
        <f t="shared" ref="AH41:AH42" si="227">SUM(AI41:AL41)</f>
        <v>0</v>
      </c>
      <c r="AI41" s="1699">
        <f t="shared" ref="AI41:AI42" si="228">AD41/2+Y41/2</f>
        <v>0</v>
      </c>
      <c r="AJ41" s="1699">
        <f t="shared" ref="AJ41:AJ43" si="229">AE41/2+Z41/2</f>
        <v>0</v>
      </c>
      <c r="AK41" s="1699">
        <f t="shared" ref="AK41:AK43" si="230">AF41/2+AA41/2</f>
        <v>0</v>
      </c>
      <c r="AL41" s="1700">
        <f t="shared" ref="AL41:AL43" si="231">AG41/2+AB41/2</f>
        <v>0</v>
      </c>
      <c r="AM41" s="1686"/>
      <c r="AN41" s="1697" t="s">
        <v>239</v>
      </c>
      <c r="AO41" s="1717" t="s">
        <v>2041</v>
      </c>
      <c r="AP41" s="1589" t="s">
        <v>241</v>
      </c>
      <c r="AQ41" s="1701">
        <f t="shared" ref="AQ41:AQ42" si="232">SUM(AR41:AU41)</f>
        <v>0</v>
      </c>
      <c r="AR41" s="1531"/>
      <c r="AS41" s="1531"/>
      <c r="AT41" s="1531"/>
      <c r="AU41" s="1703"/>
      <c r="AV41" s="1701">
        <f t="shared" ref="AV41:AV42" si="233">SUM(AW41:AZ41)</f>
        <v>0</v>
      </c>
      <c r="AW41" s="1531"/>
      <c r="AX41" s="1531"/>
      <c r="AY41" s="1531"/>
      <c r="AZ41" s="1703"/>
      <c r="BA41" s="1701">
        <f t="shared" ref="BA41:BA42" si="234">SUM(BB41:BE41)</f>
        <v>0</v>
      </c>
      <c r="BB41" s="1699">
        <f t="shared" ref="BB41:BB42" si="235">AW41/2+AR41/2</f>
        <v>0</v>
      </c>
      <c r="BC41" s="1699">
        <f t="shared" ref="BC41:BC43" si="236">AX41/2+AS41/2</f>
        <v>0</v>
      </c>
      <c r="BD41" s="1699">
        <f t="shared" ref="BD41:BD43" si="237">AY41/2+AT41/2</f>
        <v>0</v>
      </c>
      <c r="BE41" s="1700">
        <f t="shared" ref="BE41:BE43" si="238">AZ41/2+AU41/2</f>
        <v>0</v>
      </c>
      <c r="BF41" s="1685"/>
      <c r="BG41" s="1697" t="s">
        <v>239</v>
      </c>
      <c r="BH41" s="1717" t="s">
        <v>2041</v>
      </c>
      <c r="BI41" s="1589" t="s">
        <v>241</v>
      </c>
      <c r="BJ41" s="1701">
        <f t="shared" ref="BJ41:BJ42" si="239">SUM(BK41:BN41)</f>
        <v>0</v>
      </c>
      <c r="BK41" s="1531"/>
      <c r="BL41" s="1531"/>
      <c r="BM41" s="1531"/>
      <c r="BN41" s="1703"/>
      <c r="BO41" s="1701">
        <f t="shared" ref="BO41:BO42" si="240">SUM(BP41:BS41)</f>
        <v>0</v>
      </c>
      <c r="BP41" s="1531"/>
      <c r="BQ41" s="1531"/>
      <c r="BR41" s="1531"/>
      <c r="BS41" s="1703"/>
      <c r="BT41" s="1701">
        <f t="shared" ref="BT41:BT42" si="241">SUM(BU41:BX41)</f>
        <v>0</v>
      </c>
      <c r="BU41" s="1699">
        <f t="shared" ref="BU41:BU42" si="242">BP41/2+BK41/2</f>
        <v>0</v>
      </c>
      <c r="BV41" s="1699">
        <f t="shared" ref="BV41:BV43" si="243">BQ41/2+BL41/2</f>
        <v>0</v>
      </c>
      <c r="BW41" s="1699">
        <f t="shared" ref="BW41:BW43" si="244">BR41/2+BM41/2</f>
        <v>0</v>
      </c>
      <c r="BX41" s="1700">
        <f t="shared" ref="BX41:BX43" si="245">BS41/2+BN41/2</f>
        <v>0</v>
      </c>
      <c r="BY41" s="1686"/>
      <c r="BZ41" s="1697" t="s">
        <v>239</v>
      </c>
      <c r="CA41" s="1717" t="s">
        <v>2041</v>
      </c>
      <c r="CB41" s="1589" t="s">
        <v>241</v>
      </c>
      <c r="CC41" s="1701">
        <f t="shared" ref="CC41:CC42" si="246">SUM(CD41:CG41)</f>
        <v>0</v>
      </c>
      <c r="CD41" s="1531"/>
      <c r="CE41" s="1531"/>
      <c r="CF41" s="1531"/>
      <c r="CG41" s="1703"/>
      <c r="CH41" s="1701">
        <f t="shared" ref="CH41:CH42" si="247">SUM(CI41:CL41)</f>
        <v>0</v>
      </c>
      <c r="CI41" s="1531"/>
      <c r="CJ41" s="1531"/>
      <c r="CK41" s="1531"/>
      <c r="CL41" s="1703"/>
      <c r="CM41" s="1701">
        <f t="shared" ref="CM41:CM42" si="248">SUM(CN41:CQ41)</f>
        <v>0</v>
      </c>
      <c r="CN41" s="1699">
        <f t="shared" ref="CN41:CN42" si="249">CI41/2+CD41/2</f>
        <v>0</v>
      </c>
      <c r="CO41" s="1699">
        <f t="shared" ref="CO41:CO43" si="250">CJ41/2+CE41/2</f>
        <v>0</v>
      </c>
      <c r="CP41" s="1699">
        <f t="shared" ref="CP41:CP43" si="251">CK41/2+CF41/2</f>
        <v>0</v>
      </c>
      <c r="CQ41" s="1700">
        <f t="shared" ref="CQ41:CQ43" si="252">CL41/2+CG41/2</f>
        <v>0</v>
      </c>
    </row>
    <row r="42" spans="1:95" ht="31.5">
      <c r="A42" s="1685"/>
      <c r="B42" s="1727" t="s">
        <v>242</v>
      </c>
      <c r="C42" s="1728" t="s">
        <v>2042</v>
      </c>
      <c r="D42" s="1711" t="s">
        <v>241</v>
      </c>
      <c r="E42" s="1713">
        <f t="shared" si="221"/>
        <v>0</v>
      </c>
      <c r="F42" s="1708"/>
      <c r="G42" s="1708"/>
      <c r="H42" s="1708"/>
      <c r="I42" s="1709"/>
      <c r="J42" s="1713">
        <f t="shared" si="222"/>
        <v>0</v>
      </c>
      <c r="K42" s="1708"/>
      <c r="L42" s="1708"/>
      <c r="M42" s="1708"/>
      <c r="N42" s="1709"/>
      <c r="O42" s="1713">
        <f t="shared" si="223"/>
        <v>0</v>
      </c>
      <c r="P42" s="1699">
        <f t="shared" si="224"/>
        <v>0</v>
      </c>
      <c r="Q42" s="1699">
        <f t="shared" si="224"/>
        <v>0</v>
      </c>
      <c r="R42" s="1699">
        <f t="shared" si="224"/>
        <v>0</v>
      </c>
      <c r="S42" s="1700">
        <f t="shared" si="224"/>
        <v>0</v>
      </c>
      <c r="T42" s="1686"/>
      <c r="U42" s="1727" t="s">
        <v>242</v>
      </c>
      <c r="V42" s="1728" t="s">
        <v>2042</v>
      </c>
      <c r="W42" s="1711" t="s">
        <v>241</v>
      </c>
      <c r="X42" s="1713">
        <f t="shared" si="225"/>
        <v>0</v>
      </c>
      <c r="Y42" s="1708"/>
      <c r="Z42" s="1708"/>
      <c r="AA42" s="1708"/>
      <c r="AB42" s="1709"/>
      <c r="AC42" s="1713">
        <f t="shared" si="226"/>
        <v>0</v>
      </c>
      <c r="AD42" s="1708"/>
      <c r="AE42" s="1708"/>
      <c r="AF42" s="1708"/>
      <c r="AG42" s="1709"/>
      <c r="AH42" s="1713">
        <f t="shared" si="227"/>
        <v>0</v>
      </c>
      <c r="AI42" s="1699">
        <f t="shared" si="228"/>
        <v>0</v>
      </c>
      <c r="AJ42" s="1699">
        <f t="shared" si="229"/>
        <v>0</v>
      </c>
      <c r="AK42" s="1699">
        <f t="shared" si="230"/>
        <v>0</v>
      </c>
      <c r="AL42" s="1700">
        <f t="shared" si="231"/>
        <v>0</v>
      </c>
      <c r="AM42" s="1686"/>
      <c r="AN42" s="1727" t="s">
        <v>242</v>
      </c>
      <c r="AO42" s="1728" t="s">
        <v>2042</v>
      </c>
      <c r="AP42" s="1711" t="s">
        <v>241</v>
      </c>
      <c r="AQ42" s="1713">
        <f t="shared" si="232"/>
        <v>0</v>
      </c>
      <c r="AR42" s="1708"/>
      <c r="AS42" s="1708"/>
      <c r="AT42" s="1708"/>
      <c r="AU42" s="1709"/>
      <c r="AV42" s="1713">
        <f t="shared" si="233"/>
        <v>0</v>
      </c>
      <c r="AW42" s="1708"/>
      <c r="AX42" s="1708"/>
      <c r="AY42" s="1708"/>
      <c r="AZ42" s="1709"/>
      <c r="BA42" s="1713">
        <f t="shared" si="234"/>
        <v>0</v>
      </c>
      <c r="BB42" s="1699">
        <f t="shared" si="235"/>
        <v>0</v>
      </c>
      <c r="BC42" s="1699">
        <f t="shared" si="236"/>
        <v>0</v>
      </c>
      <c r="BD42" s="1699">
        <f t="shared" si="237"/>
        <v>0</v>
      </c>
      <c r="BE42" s="1700">
        <f t="shared" si="238"/>
        <v>0</v>
      </c>
      <c r="BF42" s="1685"/>
      <c r="BG42" s="1727" t="s">
        <v>242</v>
      </c>
      <c r="BH42" s="1728" t="s">
        <v>2042</v>
      </c>
      <c r="BI42" s="1711" t="s">
        <v>241</v>
      </c>
      <c r="BJ42" s="1713">
        <f t="shared" si="239"/>
        <v>0</v>
      </c>
      <c r="BK42" s="1708"/>
      <c r="BL42" s="1708"/>
      <c r="BM42" s="1708"/>
      <c r="BN42" s="1709"/>
      <c r="BO42" s="1713">
        <f t="shared" si="240"/>
        <v>0</v>
      </c>
      <c r="BP42" s="1708"/>
      <c r="BQ42" s="1708"/>
      <c r="BR42" s="1708"/>
      <c r="BS42" s="1709"/>
      <c r="BT42" s="1713">
        <f t="shared" si="241"/>
        <v>0</v>
      </c>
      <c r="BU42" s="1699">
        <f t="shared" si="242"/>
        <v>0</v>
      </c>
      <c r="BV42" s="1699">
        <f t="shared" si="243"/>
        <v>0</v>
      </c>
      <c r="BW42" s="1699">
        <f t="shared" si="244"/>
        <v>0</v>
      </c>
      <c r="BX42" s="1700">
        <f t="shared" si="245"/>
        <v>0</v>
      </c>
      <c r="BY42" s="1686"/>
      <c r="BZ42" s="1727" t="s">
        <v>242</v>
      </c>
      <c r="CA42" s="1728" t="s">
        <v>2042</v>
      </c>
      <c r="CB42" s="1711" t="s">
        <v>241</v>
      </c>
      <c r="CC42" s="1713">
        <f t="shared" si="246"/>
        <v>0</v>
      </c>
      <c r="CD42" s="1708"/>
      <c r="CE42" s="1708"/>
      <c r="CF42" s="1708"/>
      <c r="CG42" s="1709"/>
      <c r="CH42" s="1713">
        <f t="shared" si="247"/>
        <v>0</v>
      </c>
      <c r="CI42" s="1708"/>
      <c r="CJ42" s="1708"/>
      <c r="CK42" s="1708"/>
      <c r="CL42" s="1709"/>
      <c r="CM42" s="1713">
        <f t="shared" si="248"/>
        <v>0</v>
      </c>
      <c r="CN42" s="1699">
        <f t="shared" si="249"/>
        <v>0</v>
      </c>
      <c r="CO42" s="1699">
        <f t="shared" si="250"/>
        <v>0</v>
      </c>
      <c r="CP42" s="1699">
        <f t="shared" si="251"/>
        <v>0</v>
      </c>
      <c r="CQ42" s="1700">
        <f t="shared" si="252"/>
        <v>0</v>
      </c>
    </row>
    <row r="43" spans="1:95" ht="15.75" thickBot="1">
      <c r="A43" s="1685"/>
      <c r="B43" s="1598" t="s">
        <v>473</v>
      </c>
      <c r="C43" s="1729" t="s">
        <v>2037</v>
      </c>
      <c r="D43" s="1685" t="s">
        <v>241</v>
      </c>
      <c r="E43" s="1724">
        <f>SUM(F43:I43)</f>
        <v>0</v>
      </c>
      <c r="F43" s="1723"/>
      <c r="G43" s="1723"/>
      <c r="H43" s="1723"/>
      <c r="I43" s="1721"/>
      <c r="J43" s="1724">
        <f>SUM(K43:N43)</f>
        <v>0</v>
      </c>
      <c r="K43" s="1723"/>
      <c r="L43" s="1723"/>
      <c r="M43" s="1723"/>
      <c r="N43" s="1725"/>
      <c r="O43" s="1701">
        <f t="shared" ref="O43" si="253">SUM(P43:S43)</f>
        <v>0</v>
      </c>
      <c r="P43" s="1699">
        <f>K43/2+F43/2</f>
        <v>0</v>
      </c>
      <c r="Q43" s="1699">
        <f t="shared" si="224"/>
        <v>0</v>
      </c>
      <c r="R43" s="1699">
        <f t="shared" si="224"/>
        <v>0</v>
      </c>
      <c r="S43" s="1700">
        <f t="shared" si="224"/>
        <v>0</v>
      </c>
      <c r="T43" s="1686"/>
      <c r="U43" s="1758" t="s">
        <v>473</v>
      </c>
      <c r="V43" s="1729" t="s">
        <v>2037</v>
      </c>
      <c r="W43" s="1685" t="s">
        <v>241</v>
      </c>
      <c r="X43" s="1724">
        <f>SUM(Y43:AB43)</f>
        <v>0</v>
      </c>
      <c r="Y43" s="1723"/>
      <c r="Z43" s="1723"/>
      <c r="AA43" s="1723"/>
      <c r="AB43" s="1721"/>
      <c r="AC43" s="1724">
        <f>SUM(AD43:AG43)</f>
        <v>0</v>
      </c>
      <c r="AD43" s="1723"/>
      <c r="AE43" s="1723"/>
      <c r="AF43" s="1723"/>
      <c r="AG43" s="1725"/>
      <c r="AH43" s="1701">
        <f t="shared" ref="AH43" si="254">SUM(AI43:AL43)</f>
        <v>0</v>
      </c>
      <c r="AI43" s="1699">
        <f>AD43/2+Y43/2</f>
        <v>0</v>
      </c>
      <c r="AJ43" s="1699">
        <f t="shared" si="229"/>
        <v>0</v>
      </c>
      <c r="AK43" s="1699">
        <f t="shared" si="230"/>
        <v>0</v>
      </c>
      <c r="AL43" s="1700">
        <f t="shared" si="231"/>
        <v>0</v>
      </c>
      <c r="AM43" s="1686"/>
      <c r="AN43" s="1758" t="s">
        <v>473</v>
      </c>
      <c r="AO43" s="1729" t="s">
        <v>2037</v>
      </c>
      <c r="AP43" s="1685" t="s">
        <v>241</v>
      </c>
      <c r="AQ43" s="1724">
        <f>SUM(AR43:AU43)</f>
        <v>0</v>
      </c>
      <c r="AR43" s="1723"/>
      <c r="AS43" s="1723"/>
      <c r="AT43" s="1723"/>
      <c r="AU43" s="1721"/>
      <c r="AV43" s="1724">
        <f>SUM(AW43:AZ43)</f>
        <v>0</v>
      </c>
      <c r="AW43" s="1723"/>
      <c r="AX43" s="1723"/>
      <c r="AY43" s="1723"/>
      <c r="AZ43" s="1725"/>
      <c r="BA43" s="1701">
        <f t="shared" ref="BA43" si="255">SUM(BB43:BE43)</f>
        <v>0</v>
      </c>
      <c r="BB43" s="1699">
        <f>AW43/2+AR43/2</f>
        <v>0</v>
      </c>
      <c r="BC43" s="1699">
        <f t="shared" si="236"/>
        <v>0</v>
      </c>
      <c r="BD43" s="1699">
        <f t="shared" si="237"/>
        <v>0</v>
      </c>
      <c r="BE43" s="1700">
        <f t="shared" si="238"/>
        <v>0</v>
      </c>
      <c r="BF43" s="1685"/>
      <c r="BG43" s="1598" t="s">
        <v>473</v>
      </c>
      <c r="BH43" s="1729" t="s">
        <v>2037</v>
      </c>
      <c r="BI43" s="1685" t="s">
        <v>241</v>
      </c>
      <c r="BJ43" s="1724">
        <f>SUM(BK43:BN43)</f>
        <v>0</v>
      </c>
      <c r="BK43" s="1723"/>
      <c r="BL43" s="1723"/>
      <c r="BM43" s="1723"/>
      <c r="BN43" s="1721"/>
      <c r="BO43" s="1724">
        <f>SUM(BP43:BS43)</f>
        <v>0</v>
      </c>
      <c r="BP43" s="1723"/>
      <c r="BQ43" s="1723"/>
      <c r="BR43" s="1723"/>
      <c r="BS43" s="1725"/>
      <c r="BT43" s="1701">
        <f t="shared" ref="BT43" si="256">SUM(BU43:BX43)</f>
        <v>0</v>
      </c>
      <c r="BU43" s="1699">
        <f>BP43/2+BK43/2</f>
        <v>0</v>
      </c>
      <c r="BV43" s="1699">
        <f t="shared" si="243"/>
        <v>0</v>
      </c>
      <c r="BW43" s="1699">
        <f t="shared" si="244"/>
        <v>0</v>
      </c>
      <c r="BX43" s="1700">
        <f t="shared" si="245"/>
        <v>0</v>
      </c>
      <c r="BY43" s="1686"/>
      <c r="BZ43" s="1758" t="s">
        <v>473</v>
      </c>
      <c r="CA43" s="1729" t="s">
        <v>2037</v>
      </c>
      <c r="CB43" s="1685" t="s">
        <v>241</v>
      </c>
      <c r="CC43" s="1724">
        <f>SUM(CD43:CG43)</f>
        <v>0</v>
      </c>
      <c r="CD43" s="1723"/>
      <c r="CE43" s="1723"/>
      <c r="CF43" s="1723"/>
      <c r="CG43" s="1721"/>
      <c r="CH43" s="1724">
        <f>SUM(CI43:CL43)</f>
        <v>0</v>
      </c>
      <c r="CI43" s="1723"/>
      <c r="CJ43" s="1723"/>
      <c r="CK43" s="1723"/>
      <c r="CL43" s="1725"/>
      <c r="CM43" s="1701">
        <f t="shared" ref="CM43" si="257">SUM(CN43:CQ43)</f>
        <v>0</v>
      </c>
      <c r="CN43" s="1699">
        <f>CI43/2+CD43/2</f>
        <v>0</v>
      </c>
      <c r="CO43" s="1699">
        <f t="shared" si="250"/>
        <v>0</v>
      </c>
      <c r="CP43" s="1699">
        <f t="shared" si="251"/>
        <v>0</v>
      </c>
      <c r="CQ43" s="1700">
        <f t="shared" si="252"/>
        <v>0</v>
      </c>
    </row>
    <row r="44" spans="1:95" ht="15.75" thickBot="1">
      <c r="A44" s="1685"/>
      <c r="B44" s="2185" t="s">
        <v>1084</v>
      </c>
      <c r="C44" s="2186"/>
      <c r="D44" s="2187"/>
      <c r="E44" s="1753">
        <f>E30-E39-E41-E42</f>
        <v>0</v>
      </c>
      <c r="F44" s="1754">
        <f>F30-G33-F41-H33-F39-F42</f>
        <v>0</v>
      </c>
      <c r="G44" s="1754">
        <f>G30-H34-I34-G39-G41-G42</f>
        <v>0</v>
      </c>
      <c r="H44" s="1754">
        <f>H30-I35-H39-H41-H42</f>
        <v>0</v>
      </c>
      <c r="I44" s="1755">
        <f>I30-I39-I41-I42</f>
        <v>0</v>
      </c>
      <c r="J44" s="1756">
        <f>J30-J39-J41-J42</f>
        <v>0</v>
      </c>
      <c r="K44" s="1754">
        <f>K30-L33-K41-M33-K39-K42</f>
        <v>0</v>
      </c>
      <c r="L44" s="1754">
        <f>L30-M34-N34-L39-L41-L42</f>
        <v>0</v>
      </c>
      <c r="M44" s="1754">
        <f>M30-N35-M39-M41-M42</f>
        <v>0</v>
      </c>
      <c r="N44" s="1755">
        <f>N30-N39-N41-N42</f>
        <v>0</v>
      </c>
      <c r="O44" s="1756">
        <f>O30-O39-O41-O42</f>
        <v>0</v>
      </c>
      <c r="P44" s="1754">
        <f>P30-Q33-P41-R33-P39-P42</f>
        <v>0</v>
      </c>
      <c r="Q44" s="1754">
        <f>Q30-R34-S34-Q39-Q41-Q42</f>
        <v>0</v>
      </c>
      <c r="R44" s="1754">
        <f>R30-S35-R39-R41-R42</f>
        <v>0</v>
      </c>
      <c r="S44" s="1755">
        <f>S30-S39-S41-S42</f>
        <v>0</v>
      </c>
      <c r="U44" s="2185" t="s">
        <v>1084</v>
      </c>
      <c r="V44" s="2186"/>
      <c r="W44" s="2187"/>
      <c r="X44" s="1753">
        <f>X30-X39-X41-X42</f>
        <v>0</v>
      </c>
      <c r="Y44" s="1754">
        <f>Y30-Z33-Y41-AA33-Y39-Y42</f>
        <v>0</v>
      </c>
      <c r="Z44" s="1754">
        <f>Z30-AA34-AB34-Z39-Z41-Z42</f>
        <v>0</v>
      </c>
      <c r="AA44" s="1754">
        <f>AA30-AB35-AA39-AA41-AA42</f>
        <v>0</v>
      </c>
      <c r="AB44" s="1755">
        <f>AB30-AB39-AB41-AB42</f>
        <v>0</v>
      </c>
      <c r="AC44" s="1756">
        <f>AC30-AC39-AC41-AC42</f>
        <v>0</v>
      </c>
      <c r="AD44" s="1754">
        <f>AD30-AE33-AD41-AF33-AD39-AD42</f>
        <v>0</v>
      </c>
      <c r="AE44" s="1754">
        <f>AE30-AF34-AG34-AE39-AE41-AE42</f>
        <v>0</v>
      </c>
      <c r="AF44" s="1754">
        <f>AF30-AG35-AF39-AF41-AF42</f>
        <v>0</v>
      </c>
      <c r="AG44" s="1755">
        <f>AG30-AG39-AG41-AG42</f>
        <v>0</v>
      </c>
      <c r="AH44" s="1756">
        <f>AH30-AH39-AH41-AH42</f>
        <v>0</v>
      </c>
      <c r="AI44" s="1754">
        <f>AI30-AJ33-AI41-AK33-AI39-AI42</f>
        <v>0</v>
      </c>
      <c r="AJ44" s="1754">
        <f>AJ30-AK34-AL34-AJ39-AJ41-AJ42</f>
        <v>0</v>
      </c>
      <c r="AK44" s="1754">
        <f>AK30-AL35-AK39-AK41-AK42</f>
        <v>0</v>
      </c>
      <c r="AL44" s="1755">
        <f>AL30-AL39-AL41-AL42</f>
        <v>0</v>
      </c>
      <c r="AN44" s="2185" t="s">
        <v>1084</v>
      </c>
      <c r="AO44" s="2186"/>
      <c r="AP44" s="2187"/>
      <c r="AQ44" s="1753">
        <f>AQ30-AQ39-AQ41-AQ42</f>
        <v>0</v>
      </c>
      <c r="AR44" s="1754">
        <f>AR30-AS33-AR41-AT33-AR39-AR42</f>
        <v>0</v>
      </c>
      <c r="AS44" s="1754">
        <f>AS30-AT34-AU34-AS39-AS41-AS42</f>
        <v>0</v>
      </c>
      <c r="AT44" s="1754">
        <f>AT30-AU35-AT39-AT41-AT42</f>
        <v>0</v>
      </c>
      <c r="AU44" s="1755">
        <f>AU30-AU39-AU41-AU42</f>
        <v>0</v>
      </c>
      <c r="AV44" s="1756">
        <f>AV30-AV39-AV41-AV42</f>
        <v>0</v>
      </c>
      <c r="AW44" s="1754">
        <f>AW30-AX33-AW41-AY33-AW39-AW42</f>
        <v>0</v>
      </c>
      <c r="AX44" s="1754">
        <f>AX30-AY34-AZ34-AX39-AX41-AX42</f>
        <v>0</v>
      </c>
      <c r="AY44" s="1754">
        <f>AY30-AZ35-AY39-AY41-AY42</f>
        <v>0</v>
      </c>
      <c r="AZ44" s="1755">
        <f>AZ30-AZ39-AZ41-AZ42</f>
        <v>0</v>
      </c>
      <c r="BA44" s="1756">
        <f>BA30-BA39-BA41-BA42</f>
        <v>0</v>
      </c>
      <c r="BB44" s="1754">
        <f>BB30-BC33-BB41-BD33-BB39-BB42</f>
        <v>0</v>
      </c>
      <c r="BC44" s="1754">
        <f>BC30-BD34-BE34-BC39-BC41-BC42</f>
        <v>0</v>
      </c>
      <c r="BD44" s="1754">
        <f>BD30-BE35-BD39-BD41-BD42</f>
        <v>0</v>
      </c>
      <c r="BE44" s="1755">
        <f>BE30-BE39-BE41-BE42</f>
        <v>0</v>
      </c>
      <c r="BF44" s="1685"/>
      <c r="BG44" s="2185" t="s">
        <v>1084</v>
      </c>
      <c r="BH44" s="2186"/>
      <c r="BI44" s="2187"/>
      <c r="BJ44" s="1753">
        <f>BJ30-BJ39-BJ41-BJ42</f>
        <v>0</v>
      </c>
      <c r="BK44" s="1754">
        <f>BK30-BL33-BK41-BM33-BK39-BK42</f>
        <v>0</v>
      </c>
      <c r="BL44" s="1754">
        <f>BL30-BM34-BN34-BL39-BL41-BL42</f>
        <v>0</v>
      </c>
      <c r="BM44" s="1754">
        <f>BM30-BN35-BM39-BM41-BM42</f>
        <v>0</v>
      </c>
      <c r="BN44" s="1755">
        <f>BN30-BN39-BN41-BN42</f>
        <v>0</v>
      </c>
      <c r="BO44" s="1756">
        <f>BO30-BO39-BO41-BO42</f>
        <v>0</v>
      </c>
      <c r="BP44" s="1754">
        <f>BP30-BQ33-BP41-BR33-BP39-BP42</f>
        <v>0</v>
      </c>
      <c r="BQ44" s="1754">
        <f>BQ30-BR34-BS34-BQ39-BQ41-BQ42</f>
        <v>0</v>
      </c>
      <c r="BR44" s="1754">
        <f>BR30-BS35-BR39-BR41-BR42</f>
        <v>0</v>
      </c>
      <c r="BS44" s="1755">
        <f>BS30-BS39-BS41-BS42</f>
        <v>0</v>
      </c>
      <c r="BT44" s="1756">
        <f>BT30-BT39-BT41-BT42</f>
        <v>0</v>
      </c>
      <c r="BU44" s="1754">
        <f>BU30-BV33-BU41-BW33-BU39-BU42</f>
        <v>0</v>
      </c>
      <c r="BV44" s="1754">
        <f>BV30-BW34-BX34-BV39-BV41-BV42</f>
        <v>0</v>
      </c>
      <c r="BW44" s="1754">
        <f>BW30-BX35-BW39-BW41-BW42</f>
        <v>0</v>
      </c>
      <c r="BX44" s="1755">
        <f>BX30-BX39-BX41-BX42</f>
        <v>0</v>
      </c>
      <c r="BZ44" s="2185" t="s">
        <v>1084</v>
      </c>
      <c r="CA44" s="2186"/>
      <c r="CB44" s="2187"/>
      <c r="CC44" s="1753">
        <f>CC30-CC39-CC41-CC42</f>
        <v>0</v>
      </c>
      <c r="CD44" s="1754">
        <f>CD30-CE33-CD41-CF33-CD39-CD42</f>
        <v>0</v>
      </c>
      <c r="CE44" s="1754">
        <f>CE30-CF34-CG34-CE39-CE41-CE42</f>
        <v>0</v>
      </c>
      <c r="CF44" s="1754">
        <f>CF30-CG35-CF39-CF41-CF42</f>
        <v>0</v>
      </c>
      <c r="CG44" s="1755">
        <f>CG30-CG39-CG41-CG42</f>
        <v>0</v>
      </c>
      <c r="CH44" s="1756">
        <f>CH30-CH39-CH41-CH42</f>
        <v>0</v>
      </c>
      <c r="CI44" s="1754">
        <f>CI30-CJ33-CI41-CK33-CI39-CI42</f>
        <v>0</v>
      </c>
      <c r="CJ44" s="1754">
        <f>CJ30-CK34-CL34-CJ39-CJ41-CJ42</f>
        <v>0</v>
      </c>
      <c r="CK44" s="1754">
        <f>CK30-CL35-CK39-CK41-CK42</f>
        <v>0</v>
      </c>
      <c r="CL44" s="1755">
        <f>CL30-CL39-CL41-CL42</f>
        <v>0</v>
      </c>
      <c r="CM44" s="1756">
        <f>CM30-CM39-CM41-CM42</f>
        <v>0</v>
      </c>
      <c r="CN44" s="1754">
        <f>CN30-CO33-CN41-CP33-CN39-CN42</f>
        <v>0</v>
      </c>
      <c r="CO44" s="1754">
        <f>CO30-CP34-CQ34-CO39-CO41-CO42</f>
        <v>0</v>
      </c>
      <c r="CP44" s="1754">
        <f>CP30-CQ35-CP39-CP41-CP42</f>
        <v>0</v>
      </c>
      <c r="CQ44" s="1755">
        <f>CQ30-CQ39-CQ41-CQ42</f>
        <v>0</v>
      </c>
    </row>
    <row r="46" spans="1:95" ht="20.25">
      <c r="E46" s="2188" t="s">
        <v>2043</v>
      </c>
      <c r="F46" s="2188"/>
      <c r="G46" s="2188"/>
      <c r="H46" s="2188"/>
      <c r="I46" s="2188"/>
      <c r="J46" s="2188"/>
      <c r="K46" s="2188"/>
      <c r="L46" s="2188"/>
      <c r="M46" s="2188"/>
      <c r="N46" s="2188"/>
      <c r="O46" s="2188"/>
      <c r="P46" s="2188"/>
      <c r="Q46" s="2188"/>
      <c r="R46" s="2188"/>
      <c r="S46" s="2188"/>
      <c r="X46" s="2188" t="s">
        <v>2043</v>
      </c>
      <c r="Y46" s="2188"/>
      <c r="Z46" s="2188"/>
      <c r="AA46" s="2188"/>
      <c r="AB46" s="2188"/>
      <c r="AC46" s="2188"/>
      <c r="AD46" s="2188"/>
      <c r="AE46" s="2188"/>
      <c r="AF46" s="2188"/>
      <c r="AG46" s="2188"/>
      <c r="AH46" s="2188"/>
      <c r="AI46" s="2188"/>
      <c r="AJ46" s="2188"/>
      <c r="AK46" s="2188"/>
      <c r="AL46" s="2188"/>
      <c r="AQ46" s="2188" t="s">
        <v>2043</v>
      </c>
      <c r="AR46" s="2188"/>
      <c r="AS46" s="2188"/>
      <c r="AT46" s="2188"/>
      <c r="AU46" s="2188"/>
      <c r="AV46" s="2188"/>
      <c r="AW46" s="2188"/>
      <c r="AX46" s="2188"/>
      <c r="AY46" s="2188"/>
      <c r="AZ46" s="2188"/>
      <c r="BA46" s="2188"/>
      <c r="BB46" s="2188"/>
      <c r="BC46" s="2188"/>
      <c r="BD46" s="2188"/>
      <c r="BE46" s="2188"/>
      <c r="BJ46" s="2188" t="s">
        <v>2043</v>
      </c>
      <c r="BK46" s="2188"/>
      <c r="BL46" s="2188"/>
      <c r="BM46" s="2188"/>
      <c r="BN46" s="2188"/>
      <c r="BO46" s="2188"/>
      <c r="BP46" s="2188"/>
      <c r="BQ46" s="2188"/>
      <c r="BR46" s="2188"/>
      <c r="BS46" s="2188"/>
      <c r="BT46" s="2188"/>
      <c r="BU46" s="2188"/>
      <c r="BV46" s="2188"/>
      <c r="BW46" s="2188"/>
      <c r="BX46" s="2188"/>
      <c r="CC46" s="2188" t="s">
        <v>2043</v>
      </c>
      <c r="CD46" s="2188"/>
      <c r="CE46" s="2188"/>
      <c r="CF46" s="2188"/>
      <c r="CG46" s="2188"/>
      <c r="CH46" s="2188"/>
      <c r="CI46" s="2188"/>
      <c r="CJ46" s="2188"/>
      <c r="CK46" s="2188"/>
      <c r="CL46" s="2188"/>
      <c r="CM46" s="2188"/>
      <c r="CN46" s="2188"/>
      <c r="CO46" s="2188"/>
      <c r="CP46" s="2188"/>
      <c r="CQ46" s="2188"/>
    </row>
    <row r="47" spans="1:95" ht="20.25">
      <c r="E47" s="2188">
        <f>E4</f>
        <v>0</v>
      </c>
      <c r="F47" s="2188"/>
      <c r="G47" s="2188"/>
      <c r="H47" s="2188"/>
      <c r="I47" s="2188"/>
      <c r="J47" s="2188"/>
      <c r="K47" s="2188"/>
      <c r="L47" s="2188"/>
      <c r="M47" s="2188"/>
      <c r="N47" s="2188"/>
      <c r="O47" s="2188"/>
      <c r="P47" s="2188"/>
      <c r="Q47" s="2188"/>
      <c r="R47" s="2188"/>
      <c r="S47" s="2188"/>
      <c r="X47" s="2188">
        <f>X4</f>
        <v>0</v>
      </c>
      <c r="Y47" s="2188"/>
      <c r="Z47" s="2188"/>
      <c r="AA47" s="2188"/>
      <c r="AB47" s="2188"/>
      <c r="AC47" s="2188"/>
      <c r="AD47" s="2188"/>
      <c r="AE47" s="2188"/>
      <c r="AF47" s="2188"/>
      <c r="AG47" s="2188"/>
      <c r="AH47" s="2188"/>
      <c r="AI47" s="2188"/>
      <c r="AJ47" s="2188"/>
      <c r="AK47" s="2188"/>
      <c r="AL47" s="2188"/>
      <c r="AQ47" s="2188">
        <f>AQ4</f>
        <v>0</v>
      </c>
      <c r="AR47" s="2188"/>
      <c r="AS47" s="2188"/>
      <c r="AT47" s="2188"/>
      <c r="AU47" s="2188"/>
      <c r="AV47" s="2188"/>
      <c r="AW47" s="2188"/>
      <c r="AX47" s="2188"/>
      <c r="AY47" s="2188"/>
      <c r="AZ47" s="2188"/>
      <c r="BA47" s="2188"/>
      <c r="BB47" s="2188"/>
      <c r="BC47" s="2188"/>
      <c r="BD47" s="2188"/>
      <c r="BE47" s="2188"/>
      <c r="BJ47" s="2188">
        <f>BJ4</f>
        <v>0</v>
      </c>
      <c r="BK47" s="2188"/>
      <c r="BL47" s="2188"/>
      <c r="BM47" s="2188"/>
      <c r="BN47" s="2188"/>
      <c r="BO47" s="2188"/>
      <c r="BP47" s="2188"/>
      <c r="BQ47" s="2188"/>
      <c r="BR47" s="2188"/>
      <c r="BS47" s="2188"/>
      <c r="BT47" s="2188"/>
      <c r="BU47" s="2188"/>
      <c r="BV47" s="2188"/>
      <c r="BW47" s="2188"/>
      <c r="BX47" s="2188"/>
      <c r="CC47" s="2188">
        <f>CC4</f>
        <v>0</v>
      </c>
      <c r="CD47" s="2188"/>
      <c r="CE47" s="2188"/>
      <c r="CF47" s="2188"/>
      <c r="CG47" s="2188"/>
      <c r="CH47" s="2188"/>
      <c r="CI47" s="2188"/>
      <c r="CJ47" s="2188"/>
      <c r="CK47" s="2188"/>
      <c r="CL47" s="2188"/>
      <c r="CM47" s="2188"/>
      <c r="CN47" s="2188"/>
      <c r="CO47" s="2188"/>
      <c r="CP47" s="2188"/>
      <c r="CQ47" s="2188"/>
    </row>
    <row r="48" spans="1:95" ht="15.75" thickBot="1"/>
    <row r="49" spans="1:95" ht="15.75" customHeight="1">
      <c r="A49" s="1685"/>
      <c r="B49" s="2191" t="s">
        <v>12</v>
      </c>
      <c r="C49" s="2189" t="s">
        <v>261</v>
      </c>
      <c r="D49" s="2180" t="s">
        <v>262</v>
      </c>
      <c r="E49" s="2182" t="str">
        <f>E6</f>
        <v>I полугодие 2022 года (Факт)</v>
      </c>
      <c r="F49" s="2183"/>
      <c r="G49" s="2183"/>
      <c r="H49" s="2183"/>
      <c r="I49" s="2184"/>
      <c r="J49" s="2182" t="str">
        <f>J6</f>
        <v>II полугодие 2022 года (Факт)</v>
      </c>
      <c r="K49" s="2183"/>
      <c r="L49" s="2183"/>
      <c r="M49" s="2183"/>
      <c r="N49" s="2184"/>
      <c r="O49" s="2182" t="str">
        <f>O6</f>
        <v>2022 год (Факт)</v>
      </c>
      <c r="P49" s="2183"/>
      <c r="Q49" s="2183"/>
      <c r="R49" s="2183"/>
      <c r="S49" s="2184"/>
      <c r="T49" s="1686"/>
      <c r="U49" s="2191" t="s">
        <v>12</v>
      </c>
      <c r="V49" s="2189" t="s">
        <v>261</v>
      </c>
      <c r="W49" s="2180" t="s">
        <v>262</v>
      </c>
      <c r="X49" s="2182" t="str">
        <f>X6</f>
        <v>I полугодие 2022 года (Факт)</v>
      </c>
      <c r="Y49" s="2183"/>
      <c r="Z49" s="2183"/>
      <c r="AA49" s="2183"/>
      <c r="AB49" s="2184"/>
      <c r="AC49" s="2182" t="str">
        <f>AC6</f>
        <v>II полугодие 2022 года (Факт)</v>
      </c>
      <c r="AD49" s="2183"/>
      <c r="AE49" s="2183"/>
      <c r="AF49" s="2183"/>
      <c r="AG49" s="2184"/>
      <c r="AH49" s="2182" t="str">
        <f>AH6</f>
        <v>2022 год (Факт)</v>
      </c>
      <c r="AI49" s="2183"/>
      <c r="AJ49" s="2183"/>
      <c r="AK49" s="2183"/>
      <c r="AL49" s="2184"/>
      <c r="AM49" s="1686"/>
      <c r="AN49" s="2191" t="s">
        <v>12</v>
      </c>
      <c r="AO49" s="2189" t="s">
        <v>261</v>
      </c>
      <c r="AP49" s="2180" t="s">
        <v>262</v>
      </c>
      <c r="AQ49" s="2182" t="str">
        <f>AQ6</f>
        <v>I полугодие 2023 года (Тарифно-балансовое решение)</v>
      </c>
      <c r="AR49" s="2183"/>
      <c r="AS49" s="2183"/>
      <c r="AT49" s="2183"/>
      <c r="AU49" s="2184"/>
      <c r="AV49" s="2182" t="str">
        <f>AV6</f>
        <v>II полугодие 2023 года (Тарифно-балансовое решение)</v>
      </c>
      <c r="AW49" s="2183"/>
      <c r="AX49" s="2183"/>
      <c r="AY49" s="2183"/>
      <c r="AZ49" s="2184"/>
      <c r="BA49" s="2182" t="str">
        <f>BA6</f>
        <v>2023 год (Тарифно-балансовое решение)</v>
      </c>
      <c r="BB49" s="2183"/>
      <c r="BC49" s="2183"/>
      <c r="BD49" s="2183"/>
      <c r="BE49" s="2184"/>
      <c r="BF49" s="1685"/>
      <c r="BG49" s="2191" t="s">
        <v>12</v>
      </c>
      <c r="BH49" s="2189" t="s">
        <v>261</v>
      </c>
      <c r="BI49" s="2180" t="s">
        <v>262</v>
      </c>
      <c r="BJ49" s="2182" t="str">
        <f>BJ6</f>
        <v>I полугодие 2024 года (Предложение Организации)</v>
      </c>
      <c r="BK49" s="2183"/>
      <c r="BL49" s="2183"/>
      <c r="BM49" s="2183"/>
      <c r="BN49" s="2184"/>
      <c r="BO49" s="2182" t="str">
        <f>BO6</f>
        <v>II полугодие 2024 года (Предложение Организации)</v>
      </c>
      <c r="BP49" s="2183"/>
      <c r="BQ49" s="2183"/>
      <c r="BR49" s="2183"/>
      <c r="BS49" s="2184"/>
      <c r="BT49" s="2182" t="str">
        <f>BT6</f>
        <v>2024 год (Предложение Организации)</v>
      </c>
      <c r="BU49" s="2183"/>
      <c r="BV49" s="2183"/>
      <c r="BW49" s="2183"/>
      <c r="BX49" s="2184"/>
      <c r="BY49" s="1686"/>
      <c r="BZ49" s="2191" t="s">
        <v>12</v>
      </c>
      <c r="CA49" s="2189" t="s">
        <v>261</v>
      </c>
      <c r="CB49" s="2180" t="s">
        <v>262</v>
      </c>
      <c r="CC49" s="2182" t="str">
        <f>CC6</f>
        <v>I полугодие 2024 года (Согласовано Экспертами)</v>
      </c>
      <c r="CD49" s="2183"/>
      <c r="CE49" s="2183"/>
      <c r="CF49" s="2183"/>
      <c r="CG49" s="2184"/>
      <c r="CH49" s="2182" t="str">
        <f>CH6</f>
        <v>II полугодие 2024 года (Согласовано Экспертами)</v>
      </c>
      <c r="CI49" s="2183"/>
      <c r="CJ49" s="2183"/>
      <c r="CK49" s="2183"/>
      <c r="CL49" s="2184"/>
      <c r="CM49" s="2182" t="str">
        <f>CM6</f>
        <v>2024 год (Согласовано Экспертами)</v>
      </c>
      <c r="CN49" s="2183"/>
      <c r="CO49" s="2183"/>
      <c r="CP49" s="2183"/>
      <c r="CQ49" s="2184"/>
    </row>
    <row r="50" spans="1:95" ht="16.5" thickBot="1">
      <c r="A50" s="1685"/>
      <c r="B50" s="2192"/>
      <c r="C50" s="2190"/>
      <c r="D50" s="2181"/>
      <c r="E50" s="1730" t="s">
        <v>2025</v>
      </c>
      <c r="F50" s="1731" t="s">
        <v>168</v>
      </c>
      <c r="G50" s="1731" t="s">
        <v>208</v>
      </c>
      <c r="H50" s="1731" t="s">
        <v>209</v>
      </c>
      <c r="I50" s="1732" t="s">
        <v>171</v>
      </c>
      <c r="J50" s="1730" t="s">
        <v>2025</v>
      </c>
      <c r="K50" s="1731" t="s">
        <v>168</v>
      </c>
      <c r="L50" s="1731" t="s">
        <v>208</v>
      </c>
      <c r="M50" s="1731" t="s">
        <v>209</v>
      </c>
      <c r="N50" s="1733" t="s">
        <v>171</v>
      </c>
      <c r="O50" s="1730" t="s">
        <v>2025</v>
      </c>
      <c r="P50" s="1731" t="s">
        <v>168</v>
      </c>
      <c r="Q50" s="1731" t="s">
        <v>208</v>
      </c>
      <c r="R50" s="1734" t="s">
        <v>209</v>
      </c>
      <c r="S50" s="1733" t="s">
        <v>171</v>
      </c>
      <c r="T50" s="1686"/>
      <c r="U50" s="2192"/>
      <c r="V50" s="2190"/>
      <c r="W50" s="2181"/>
      <c r="X50" s="1730" t="s">
        <v>2025</v>
      </c>
      <c r="Y50" s="1731" t="s">
        <v>168</v>
      </c>
      <c r="Z50" s="1731" t="s">
        <v>208</v>
      </c>
      <c r="AA50" s="1731" t="s">
        <v>209</v>
      </c>
      <c r="AB50" s="1732" t="s">
        <v>171</v>
      </c>
      <c r="AC50" s="1730" t="s">
        <v>2025</v>
      </c>
      <c r="AD50" s="1731" t="s">
        <v>168</v>
      </c>
      <c r="AE50" s="1731" t="s">
        <v>208</v>
      </c>
      <c r="AF50" s="1731" t="s">
        <v>209</v>
      </c>
      <c r="AG50" s="1733" t="s">
        <v>171</v>
      </c>
      <c r="AH50" s="1730" t="s">
        <v>2025</v>
      </c>
      <c r="AI50" s="1731" t="s">
        <v>168</v>
      </c>
      <c r="AJ50" s="1731" t="s">
        <v>208</v>
      </c>
      <c r="AK50" s="1734" t="s">
        <v>209</v>
      </c>
      <c r="AL50" s="1733" t="s">
        <v>171</v>
      </c>
      <c r="AM50" s="1686"/>
      <c r="AN50" s="2192"/>
      <c r="AO50" s="2190"/>
      <c r="AP50" s="2181"/>
      <c r="AQ50" s="1730" t="s">
        <v>2025</v>
      </c>
      <c r="AR50" s="1731" t="s">
        <v>168</v>
      </c>
      <c r="AS50" s="1731" t="s">
        <v>208</v>
      </c>
      <c r="AT50" s="1731" t="s">
        <v>209</v>
      </c>
      <c r="AU50" s="1732" t="s">
        <v>171</v>
      </c>
      <c r="AV50" s="1730" t="s">
        <v>2025</v>
      </c>
      <c r="AW50" s="1731" t="s">
        <v>168</v>
      </c>
      <c r="AX50" s="1731" t="s">
        <v>208</v>
      </c>
      <c r="AY50" s="1731" t="s">
        <v>209</v>
      </c>
      <c r="AZ50" s="1733" t="s">
        <v>171</v>
      </c>
      <c r="BA50" s="1730" t="s">
        <v>2025</v>
      </c>
      <c r="BB50" s="1731" t="s">
        <v>168</v>
      </c>
      <c r="BC50" s="1731" t="s">
        <v>208</v>
      </c>
      <c r="BD50" s="1734" t="s">
        <v>209</v>
      </c>
      <c r="BE50" s="1733" t="s">
        <v>171</v>
      </c>
      <c r="BF50" s="1685"/>
      <c r="BG50" s="2192"/>
      <c r="BH50" s="2190"/>
      <c r="BI50" s="2181"/>
      <c r="BJ50" s="1730" t="s">
        <v>2025</v>
      </c>
      <c r="BK50" s="1731" t="s">
        <v>168</v>
      </c>
      <c r="BL50" s="1731" t="s">
        <v>208</v>
      </c>
      <c r="BM50" s="1731" t="s">
        <v>209</v>
      </c>
      <c r="BN50" s="1732" t="s">
        <v>171</v>
      </c>
      <c r="BO50" s="1730" t="s">
        <v>2025</v>
      </c>
      <c r="BP50" s="1731" t="s">
        <v>168</v>
      </c>
      <c r="BQ50" s="1731" t="s">
        <v>208</v>
      </c>
      <c r="BR50" s="1731" t="s">
        <v>209</v>
      </c>
      <c r="BS50" s="1733" t="s">
        <v>171</v>
      </c>
      <c r="BT50" s="1730" t="s">
        <v>2025</v>
      </c>
      <c r="BU50" s="1731" t="s">
        <v>168</v>
      </c>
      <c r="BV50" s="1731" t="s">
        <v>208</v>
      </c>
      <c r="BW50" s="1734" t="s">
        <v>209</v>
      </c>
      <c r="BX50" s="1733" t="s">
        <v>171</v>
      </c>
      <c r="BY50" s="1686"/>
      <c r="BZ50" s="2192"/>
      <c r="CA50" s="2190"/>
      <c r="CB50" s="2181"/>
      <c r="CC50" s="1730" t="s">
        <v>2025</v>
      </c>
      <c r="CD50" s="1731" t="s">
        <v>168</v>
      </c>
      <c r="CE50" s="1731" t="s">
        <v>208</v>
      </c>
      <c r="CF50" s="1731" t="s">
        <v>209</v>
      </c>
      <c r="CG50" s="1732" t="s">
        <v>171</v>
      </c>
      <c r="CH50" s="1730" t="s">
        <v>2025</v>
      </c>
      <c r="CI50" s="1731" t="s">
        <v>168</v>
      </c>
      <c r="CJ50" s="1731" t="s">
        <v>208</v>
      </c>
      <c r="CK50" s="1731" t="s">
        <v>209</v>
      </c>
      <c r="CL50" s="1733" t="s">
        <v>171</v>
      </c>
      <c r="CM50" s="1730" t="s">
        <v>2025</v>
      </c>
      <c r="CN50" s="1731" t="s">
        <v>168</v>
      </c>
      <c r="CO50" s="1731" t="s">
        <v>208</v>
      </c>
      <c r="CP50" s="1734" t="s">
        <v>209</v>
      </c>
      <c r="CQ50" s="1733" t="s">
        <v>171</v>
      </c>
    </row>
    <row r="51" spans="1:95" ht="15.75">
      <c r="B51" s="1735" t="s">
        <v>234</v>
      </c>
      <c r="C51" s="1689" t="s">
        <v>2040</v>
      </c>
      <c r="D51" s="1690" t="s">
        <v>2044</v>
      </c>
      <c r="E51" s="1736" t="str">
        <f t="shared" ref="E51:S51" si="258">IFERROR(E17/E39*1000,"х")</f>
        <v>х</v>
      </c>
      <c r="F51" s="1737" t="str">
        <f t="shared" si="258"/>
        <v>х</v>
      </c>
      <c r="G51" s="1737" t="str">
        <f t="shared" si="258"/>
        <v>х</v>
      </c>
      <c r="H51" s="1737" t="str">
        <f t="shared" si="258"/>
        <v>х</v>
      </c>
      <c r="I51" s="1738" t="str">
        <f t="shared" si="258"/>
        <v>х</v>
      </c>
      <c r="J51" s="1736" t="str">
        <f t="shared" si="258"/>
        <v>х</v>
      </c>
      <c r="K51" s="1737" t="str">
        <f t="shared" si="258"/>
        <v>х</v>
      </c>
      <c r="L51" s="1737" t="str">
        <f t="shared" si="258"/>
        <v>х</v>
      </c>
      <c r="M51" s="1737" t="str">
        <f t="shared" si="258"/>
        <v>х</v>
      </c>
      <c r="N51" s="1738" t="str">
        <f t="shared" si="258"/>
        <v>х</v>
      </c>
      <c r="O51" s="1736" t="str">
        <f t="shared" si="258"/>
        <v>х</v>
      </c>
      <c r="P51" s="1737" t="str">
        <f t="shared" si="258"/>
        <v>х</v>
      </c>
      <c r="Q51" s="1737" t="str">
        <f t="shared" si="258"/>
        <v>х</v>
      </c>
      <c r="R51" s="1738" t="str">
        <f t="shared" si="258"/>
        <v>х</v>
      </c>
      <c r="S51" s="1739" t="str">
        <f t="shared" si="258"/>
        <v>х</v>
      </c>
      <c r="T51" s="1686"/>
      <c r="U51" s="1759" t="s">
        <v>234</v>
      </c>
      <c r="V51" s="1689" t="s">
        <v>2040</v>
      </c>
      <c r="W51" s="1690" t="s">
        <v>2044</v>
      </c>
      <c r="X51" s="1736" t="str">
        <f t="shared" ref="X51:AL51" si="259">IFERROR(X17/X39*1000,"х")</f>
        <v>х</v>
      </c>
      <c r="Y51" s="1737" t="str">
        <f t="shared" si="259"/>
        <v>х</v>
      </c>
      <c r="Z51" s="1737" t="str">
        <f t="shared" si="259"/>
        <v>х</v>
      </c>
      <c r="AA51" s="1737" t="str">
        <f t="shared" si="259"/>
        <v>х</v>
      </c>
      <c r="AB51" s="1738" t="str">
        <f t="shared" si="259"/>
        <v>х</v>
      </c>
      <c r="AC51" s="1736" t="str">
        <f t="shared" si="259"/>
        <v>х</v>
      </c>
      <c r="AD51" s="1737" t="str">
        <f t="shared" si="259"/>
        <v>х</v>
      </c>
      <c r="AE51" s="1737" t="str">
        <f t="shared" si="259"/>
        <v>х</v>
      </c>
      <c r="AF51" s="1737" t="str">
        <f t="shared" si="259"/>
        <v>х</v>
      </c>
      <c r="AG51" s="1738" t="str">
        <f t="shared" si="259"/>
        <v>х</v>
      </c>
      <c r="AH51" s="1736" t="str">
        <f t="shared" si="259"/>
        <v>х</v>
      </c>
      <c r="AI51" s="1737" t="str">
        <f t="shared" si="259"/>
        <v>х</v>
      </c>
      <c r="AJ51" s="1737" t="str">
        <f t="shared" si="259"/>
        <v>х</v>
      </c>
      <c r="AK51" s="1738" t="str">
        <f t="shared" si="259"/>
        <v>х</v>
      </c>
      <c r="AL51" s="1739" t="str">
        <f t="shared" si="259"/>
        <v>х</v>
      </c>
      <c r="AM51" s="1686"/>
      <c r="AN51" s="1759" t="s">
        <v>234</v>
      </c>
      <c r="AO51" s="1689" t="s">
        <v>2040</v>
      </c>
      <c r="AP51" s="1690" t="s">
        <v>2044</v>
      </c>
      <c r="AQ51" s="1736" t="str">
        <f t="shared" ref="AQ51:BE51" si="260">IFERROR(AQ17/AQ39*1000,"х")</f>
        <v>х</v>
      </c>
      <c r="AR51" s="1737" t="str">
        <f t="shared" si="260"/>
        <v>х</v>
      </c>
      <c r="AS51" s="1737" t="str">
        <f t="shared" si="260"/>
        <v>х</v>
      </c>
      <c r="AT51" s="1737" t="str">
        <f t="shared" si="260"/>
        <v>х</v>
      </c>
      <c r="AU51" s="1738" t="str">
        <f t="shared" si="260"/>
        <v>х</v>
      </c>
      <c r="AV51" s="1736" t="str">
        <f t="shared" si="260"/>
        <v>х</v>
      </c>
      <c r="AW51" s="1737" t="str">
        <f t="shared" si="260"/>
        <v>х</v>
      </c>
      <c r="AX51" s="1737" t="str">
        <f t="shared" si="260"/>
        <v>х</v>
      </c>
      <c r="AY51" s="1737" t="str">
        <f t="shared" si="260"/>
        <v>х</v>
      </c>
      <c r="AZ51" s="1738" t="str">
        <f t="shared" si="260"/>
        <v>х</v>
      </c>
      <c r="BA51" s="1736" t="str">
        <f t="shared" si="260"/>
        <v>х</v>
      </c>
      <c r="BB51" s="1737" t="str">
        <f t="shared" si="260"/>
        <v>х</v>
      </c>
      <c r="BC51" s="1737" t="str">
        <f t="shared" si="260"/>
        <v>х</v>
      </c>
      <c r="BD51" s="1738" t="str">
        <f t="shared" si="260"/>
        <v>х</v>
      </c>
      <c r="BE51" s="1739" t="str">
        <f t="shared" si="260"/>
        <v>х</v>
      </c>
      <c r="BG51" s="1735" t="s">
        <v>234</v>
      </c>
      <c r="BH51" s="1689" t="s">
        <v>2040</v>
      </c>
      <c r="BI51" s="1690" t="s">
        <v>2044</v>
      </c>
      <c r="BJ51" s="1736" t="str">
        <f t="shared" ref="BJ51:BX51" si="261">IFERROR(BJ17/BJ39*1000,"х")</f>
        <v>х</v>
      </c>
      <c r="BK51" s="1737" t="str">
        <f t="shared" si="261"/>
        <v>х</v>
      </c>
      <c r="BL51" s="1737" t="str">
        <f t="shared" si="261"/>
        <v>х</v>
      </c>
      <c r="BM51" s="1737" t="str">
        <f t="shared" si="261"/>
        <v>х</v>
      </c>
      <c r="BN51" s="1738" t="str">
        <f t="shared" si="261"/>
        <v>х</v>
      </c>
      <c r="BO51" s="1736" t="str">
        <f t="shared" si="261"/>
        <v>х</v>
      </c>
      <c r="BP51" s="1737" t="str">
        <f t="shared" si="261"/>
        <v>х</v>
      </c>
      <c r="BQ51" s="1737" t="str">
        <f t="shared" si="261"/>
        <v>х</v>
      </c>
      <c r="BR51" s="1737" t="str">
        <f t="shared" si="261"/>
        <v>х</v>
      </c>
      <c r="BS51" s="1738" t="str">
        <f t="shared" si="261"/>
        <v>х</v>
      </c>
      <c r="BT51" s="1736" t="str">
        <f t="shared" si="261"/>
        <v>х</v>
      </c>
      <c r="BU51" s="1737" t="str">
        <f t="shared" si="261"/>
        <v>х</v>
      </c>
      <c r="BV51" s="1737" t="str">
        <f t="shared" si="261"/>
        <v>х</v>
      </c>
      <c r="BW51" s="1738" t="str">
        <f t="shared" si="261"/>
        <v>х</v>
      </c>
      <c r="BX51" s="1739" t="str">
        <f t="shared" si="261"/>
        <v>х</v>
      </c>
      <c r="BY51" s="1686"/>
      <c r="BZ51" s="1759" t="s">
        <v>234</v>
      </c>
      <c r="CA51" s="1689" t="s">
        <v>2040</v>
      </c>
      <c r="CB51" s="1690" t="s">
        <v>2044</v>
      </c>
      <c r="CC51" s="1736" t="str">
        <f t="shared" ref="CC51:CQ51" si="262">IFERROR(CC17/CC39*1000,"х")</f>
        <v>х</v>
      </c>
      <c r="CD51" s="1737" t="str">
        <f t="shared" si="262"/>
        <v>х</v>
      </c>
      <c r="CE51" s="1737" t="str">
        <f t="shared" si="262"/>
        <v>х</v>
      </c>
      <c r="CF51" s="1737" t="str">
        <f t="shared" si="262"/>
        <v>х</v>
      </c>
      <c r="CG51" s="1738" t="str">
        <f t="shared" si="262"/>
        <v>х</v>
      </c>
      <c r="CH51" s="1736" t="str">
        <f t="shared" si="262"/>
        <v>х</v>
      </c>
      <c r="CI51" s="1737" t="str">
        <f t="shared" si="262"/>
        <v>х</v>
      </c>
      <c r="CJ51" s="1737" t="str">
        <f t="shared" si="262"/>
        <v>х</v>
      </c>
      <c r="CK51" s="1737" t="str">
        <f t="shared" si="262"/>
        <v>х</v>
      </c>
      <c r="CL51" s="1738" t="str">
        <f t="shared" si="262"/>
        <v>х</v>
      </c>
      <c r="CM51" s="1736" t="str">
        <f t="shared" si="262"/>
        <v>х</v>
      </c>
      <c r="CN51" s="1737" t="str">
        <f t="shared" si="262"/>
        <v>х</v>
      </c>
      <c r="CO51" s="1737" t="str">
        <f t="shared" si="262"/>
        <v>х</v>
      </c>
      <c r="CP51" s="1738" t="str">
        <f t="shared" si="262"/>
        <v>х</v>
      </c>
      <c r="CQ51" s="1739" t="str">
        <f t="shared" si="262"/>
        <v>х</v>
      </c>
    </row>
    <row r="52" spans="1:95" ht="31.5">
      <c r="B52" s="1520" t="s">
        <v>237</v>
      </c>
      <c r="C52" s="1521" t="s">
        <v>2036</v>
      </c>
      <c r="D52" s="1711" t="s">
        <v>2044</v>
      </c>
      <c r="E52" s="1740" t="str">
        <f t="shared" ref="E52:S52" si="263">IFERROR(E20/E42*1000,"х")</f>
        <v>х</v>
      </c>
      <c r="F52" s="1741" t="str">
        <f t="shared" si="263"/>
        <v>х</v>
      </c>
      <c r="G52" s="1741" t="str">
        <f t="shared" si="263"/>
        <v>х</v>
      </c>
      <c r="H52" s="1741" t="str">
        <f t="shared" si="263"/>
        <v>х</v>
      </c>
      <c r="I52" s="1742" t="str">
        <f t="shared" si="263"/>
        <v>х</v>
      </c>
      <c r="J52" s="1740" t="str">
        <f t="shared" si="263"/>
        <v>х</v>
      </c>
      <c r="K52" s="1741" t="str">
        <f t="shared" si="263"/>
        <v>х</v>
      </c>
      <c r="L52" s="1741" t="str">
        <f t="shared" si="263"/>
        <v>х</v>
      </c>
      <c r="M52" s="1743" t="str">
        <f t="shared" si="263"/>
        <v>х</v>
      </c>
      <c r="N52" s="1744" t="str">
        <f t="shared" si="263"/>
        <v>х</v>
      </c>
      <c r="O52" s="1740" t="str">
        <f t="shared" si="263"/>
        <v>х</v>
      </c>
      <c r="P52" s="1741" t="str">
        <f t="shared" si="263"/>
        <v>х</v>
      </c>
      <c r="Q52" s="1741" t="str">
        <f t="shared" si="263"/>
        <v>х</v>
      </c>
      <c r="R52" s="1742" t="str">
        <f t="shared" si="263"/>
        <v>х</v>
      </c>
      <c r="S52" s="1744" t="str">
        <f t="shared" si="263"/>
        <v>х</v>
      </c>
      <c r="T52" s="1686"/>
      <c r="U52" s="1523" t="s">
        <v>237</v>
      </c>
      <c r="V52" s="1521" t="s">
        <v>2036</v>
      </c>
      <c r="W52" s="1711" t="s">
        <v>2044</v>
      </c>
      <c r="X52" s="1740" t="str">
        <f t="shared" ref="X52:AL52" si="264">IFERROR(X20/X42*1000,"х")</f>
        <v>х</v>
      </c>
      <c r="Y52" s="1741" t="str">
        <f t="shared" si="264"/>
        <v>х</v>
      </c>
      <c r="Z52" s="1741" t="str">
        <f t="shared" si="264"/>
        <v>х</v>
      </c>
      <c r="AA52" s="1741" t="str">
        <f t="shared" si="264"/>
        <v>х</v>
      </c>
      <c r="AB52" s="1742" t="str">
        <f t="shared" si="264"/>
        <v>х</v>
      </c>
      <c r="AC52" s="1740" t="str">
        <f t="shared" si="264"/>
        <v>х</v>
      </c>
      <c r="AD52" s="1741" t="str">
        <f t="shared" si="264"/>
        <v>х</v>
      </c>
      <c r="AE52" s="1741" t="str">
        <f t="shared" si="264"/>
        <v>х</v>
      </c>
      <c r="AF52" s="1743" t="str">
        <f t="shared" si="264"/>
        <v>х</v>
      </c>
      <c r="AG52" s="1744" t="str">
        <f t="shared" si="264"/>
        <v>х</v>
      </c>
      <c r="AH52" s="1740" t="str">
        <f t="shared" si="264"/>
        <v>х</v>
      </c>
      <c r="AI52" s="1741" t="str">
        <f t="shared" si="264"/>
        <v>х</v>
      </c>
      <c r="AJ52" s="1741" t="str">
        <f t="shared" si="264"/>
        <v>х</v>
      </c>
      <c r="AK52" s="1742" t="str">
        <f t="shared" si="264"/>
        <v>х</v>
      </c>
      <c r="AL52" s="1744" t="str">
        <f t="shared" si="264"/>
        <v>х</v>
      </c>
      <c r="AM52" s="1686"/>
      <c r="AN52" s="1523" t="s">
        <v>237</v>
      </c>
      <c r="AO52" s="1521" t="s">
        <v>2036</v>
      </c>
      <c r="AP52" s="1711" t="s">
        <v>2044</v>
      </c>
      <c r="AQ52" s="1740" t="str">
        <f t="shared" ref="AQ52:BE52" si="265">IFERROR(AQ20/AQ42*1000,"х")</f>
        <v>х</v>
      </c>
      <c r="AR52" s="1741" t="str">
        <f t="shared" si="265"/>
        <v>х</v>
      </c>
      <c r="AS52" s="1741" t="str">
        <f t="shared" si="265"/>
        <v>х</v>
      </c>
      <c r="AT52" s="1741" t="str">
        <f t="shared" si="265"/>
        <v>х</v>
      </c>
      <c r="AU52" s="1742" t="str">
        <f t="shared" si="265"/>
        <v>х</v>
      </c>
      <c r="AV52" s="1740" t="str">
        <f t="shared" si="265"/>
        <v>х</v>
      </c>
      <c r="AW52" s="1741" t="str">
        <f t="shared" si="265"/>
        <v>х</v>
      </c>
      <c r="AX52" s="1741" t="str">
        <f t="shared" si="265"/>
        <v>х</v>
      </c>
      <c r="AY52" s="1743" t="str">
        <f t="shared" si="265"/>
        <v>х</v>
      </c>
      <c r="AZ52" s="1744" t="str">
        <f t="shared" si="265"/>
        <v>х</v>
      </c>
      <c r="BA52" s="1740" t="str">
        <f t="shared" si="265"/>
        <v>х</v>
      </c>
      <c r="BB52" s="1741" t="str">
        <f t="shared" si="265"/>
        <v>х</v>
      </c>
      <c r="BC52" s="1741" t="str">
        <f t="shared" si="265"/>
        <v>х</v>
      </c>
      <c r="BD52" s="1742" t="str">
        <f t="shared" si="265"/>
        <v>х</v>
      </c>
      <c r="BE52" s="1744" t="str">
        <f t="shared" si="265"/>
        <v>х</v>
      </c>
      <c r="BG52" s="1520" t="s">
        <v>237</v>
      </c>
      <c r="BH52" s="1521" t="s">
        <v>2036</v>
      </c>
      <c r="BI52" s="1711" t="s">
        <v>2044</v>
      </c>
      <c r="BJ52" s="1740" t="str">
        <f t="shared" ref="BJ52:BX52" si="266">IFERROR(BJ20/BJ42*1000,"х")</f>
        <v>х</v>
      </c>
      <c r="BK52" s="1741" t="str">
        <f t="shared" si="266"/>
        <v>х</v>
      </c>
      <c r="BL52" s="1741" t="str">
        <f t="shared" si="266"/>
        <v>х</v>
      </c>
      <c r="BM52" s="1741" t="str">
        <f t="shared" si="266"/>
        <v>х</v>
      </c>
      <c r="BN52" s="1742" t="str">
        <f t="shared" si="266"/>
        <v>х</v>
      </c>
      <c r="BO52" s="1740" t="str">
        <f t="shared" si="266"/>
        <v>х</v>
      </c>
      <c r="BP52" s="1741" t="str">
        <f t="shared" si="266"/>
        <v>х</v>
      </c>
      <c r="BQ52" s="1741" t="str">
        <f t="shared" si="266"/>
        <v>х</v>
      </c>
      <c r="BR52" s="1743" t="str">
        <f t="shared" si="266"/>
        <v>х</v>
      </c>
      <c r="BS52" s="1744" t="str">
        <f t="shared" si="266"/>
        <v>х</v>
      </c>
      <c r="BT52" s="1740" t="str">
        <f t="shared" si="266"/>
        <v>х</v>
      </c>
      <c r="BU52" s="1741" t="str">
        <f t="shared" si="266"/>
        <v>х</v>
      </c>
      <c r="BV52" s="1741" t="str">
        <f t="shared" si="266"/>
        <v>х</v>
      </c>
      <c r="BW52" s="1742" t="str">
        <f t="shared" si="266"/>
        <v>х</v>
      </c>
      <c r="BX52" s="1744" t="str">
        <f t="shared" si="266"/>
        <v>х</v>
      </c>
      <c r="BY52" s="1686"/>
      <c r="BZ52" s="1523" t="s">
        <v>237</v>
      </c>
      <c r="CA52" s="1521" t="s">
        <v>2036</v>
      </c>
      <c r="CB52" s="1711" t="s">
        <v>2044</v>
      </c>
      <c r="CC52" s="1740" t="str">
        <f t="shared" ref="CC52:CQ52" si="267">IFERROR(CC20/CC42*1000,"х")</f>
        <v>х</v>
      </c>
      <c r="CD52" s="1741" t="str">
        <f t="shared" si="267"/>
        <v>х</v>
      </c>
      <c r="CE52" s="1741" t="str">
        <f t="shared" si="267"/>
        <v>х</v>
      </c>
      <c r="CF52" s="1741" t="str">
        <f t="shared" si="267"/>
        <v>х</v>
      </c>
      <c r="CG52" s="1742" t="str">
        <f t="shared" si="267"/>
        <v>х</v>
      </c>
      <c r="CH52" s="1740" t="str">
        <f t="shared" si="267"/>
        <v>х</v>
      </c>
      <c r="CI52" s="1741" t="str">
        <f t="shared" si="267"/>
        <v>х</v>
      </c>
      <c r="CJ52" s="1741" t="str">
        <f t="shared" si="267"/>
        <v>х</v>
      </c>
      <c r="CK52" s="1743" t="str">
        <f t="shared" si="267"/>
        <v>х</v>
      </c>
      <c r="CL52" s="1744" t="str">
        <f t="shared" si="267"/>
        <v>х</v>
      </c>
      <c r="CM52" s="1740" t="str">
        <f t="shared" si="267"/>
        <v>х</v>
      </c>
      <c r="CN52" s="1741" t="str">
        <f t="shared" si="267"/>
        <v>х</v>
      </c>
      <c r="CO52" s="1741" t="str">
        <f t="shared" si="267"/>
        <v>х</v>
      </c>
      <c r="CP52" s="1742" t="str">
        <f t="shared" si="267"/>
        <v>х</v>
      </c>
      <c r="CQ52" s="1744" t="str">
        <f t="shared" si="267"/>
        <v>х</v>
      </c>
    </row>
    <row r="53" spans="1:95" ht="15.75" thickBot="1">
      <c r="B53" s="1745" t="s">
        <v>520</v>
      </c>
      <c r="C53" s="1746" t="s">
        <v>2037</v>
      </c>
      <c r="D53" s="1747" t="s">
        <v>2044</v>
      </c>
      <c r="E53" s="1748" t="str">
        <f t="shared" ref="E53:S53" si="268">IFERROR(E21/E43*1000,"х")</f>
        <v>х</v>
      </c>
      <c r="F53" s="1749" t="str">
        <f t="shared" si="268"/>
        <v>х</v>
      </c>
      <c r="G53" s="1749" t="str">
        <f t="shared" si="268"/>
        <v>х</v>
      </c>
      <c r="H53" s="1749" t="str">
        <f t="shared" si="268"/>
        <v>х</v>
      </c>
      <c r="I53" s="1750" t="str">
        <f t="shared" si="268"/>
        <v>х</v>
      </c>
      <c r="J53" s="1748" t="str">
        <f t="shared" si="268"/>
        <v>х</v>
      </c>
      <c r="K53" s="1749" t="str">
        <f t="shared" si="268"/>
        <v>х</v>
      </c>
      <c r="L53" s="1749" t="str">
        <f t="shared" si="268"/>
        <v>х</v>
      </c>
      <c r="M53" s="1751" t="str">
        <f t="shared" si="268"/>
        <v>х</v>
      </c>
      <c r="N53" s="1752" t="str">
        <f t="shared" si="268"/>
        <v>х</v>
      </c>
      <c r="O53" s="1748" t="str">
        <f t="shared" si="268"/>
        <v>х</v>
      </c>
      <c r="P53" s="1749" t="str">
        <f t="shared" si="268"/>
        <v>х</v>
      </c>
      <c r="Q53" s="1749" t="str">
        <f t="shared" si="268"/>
        <v>х</v>
      </c>
      <c r="R53" s="1750" t="str">
        <f t="shared" si="268"/>
        <v>х</v>
      </c>
      <c r="S53" s="1752" t="str">
        <f t="shared" si="268"/>
        <v>х</v>
      </c>
      <c r="T53" s="1686"/>
      <c r="U53" s="1760" t="s">
        <v>520</v>
      </c>
      <c r="V53" s="1746" t="s">
        <v>2037</v>
      </c>
      <c r="W53" s="1747" t="s">
        <v>2044</v>
      </c>
      <c r="X53" s="1748" t="str">
        <f t="shared" ref="X53:AL53" si="269">IFERROR(X21/X43*1000,"х")</f>
        <v>х</v>
      </c>
      <c r="Y53" s="1749" t="str">
        <f t="shared" si="269"/>
        <v>х</v>
      </c>
      <c r="Z53" s="1749" t="str">
        <f t="shared" si="269"/>
        <v>х</v>
      </c>
      <c r="AA53" s="1749" t="str">
        <f t="shared" si="269"/>
        <v>х</v>
      </c>
      <c r="AB53" s="1750" t="str">
        <f t="shared" si="269"/>
        <v>х</v>
      </c>
      <c r="AC53" s="1748" t="str">
        <f t="shared" si="269"/>
        <v>х</v>
      </c>
      <c r="AD53" s="1749" t="str">
        <f t="shared" si="269"/>
        <v>х</v>
      </c>
      <c r="AE53" s="1749" t="str">
        <f t="shared" si="269"/>
        <v>х</v>
      </c>
      <c r="AF53" s="1751" t="str">
        <f t="shared" si="269"/>
        <v>х</v>
      </c>
      <c r="AG53" s="1752" t="str">
        <f t="shared" si="269"/>
        <v>х</v>
      </c>
      <c r="AH53" s="1748" t="str">
        <f t="shared" si="269"/>
        <v>х</v>
      </c>
      <c r="AI53" s="1749" t="str">
        <f t="shared" si="269"/>
        <v>х</v>
      </c>
      <c r="AJ53" s="1749" t="str">
        <f t="shared" si="269"/>
        <v>х</v>
      </c>
      <c r="AK53" s="1750" t="str">
        <f t="shared" si="269"/>
        <v>х</v>
      </c>
      <c r="AL53" s="1752" t="str">
        <f t="shared" si="269"/>
        <v>х</v>
      </c>
      <c r="AM53" s="1686"/>
      <c r="AN53" s="1760" t="s">
        <v>520</v>
      </c>
      <c r="AO53" s="1746" t="s">
        <v>2037</v>
      </c>
      <c r="AP53" s="1747" t="s">
        <v>2044</v>
      </c>
      <c r="AQ53" s="1748" t="str">
        <f t="shared" ref="AQ53:BE53" si="270">IFERROR(AQ21/AQ43*1000,"х")</f>
        <v>х</v>
      </c>
      <c r="AR53" s="1749" t="str">
        <f t="shared" si="270"/>
        <v>х</v>
      </c>
      <c r="AS53" s="1749" t="str">
        <f t="shared" si="270"/>
        <v>х</v>
      </c>
      <c r="AT53" s="1749" t="str">
        <f t="shared" si="270"/>
        <v>х</v>
      </c>
      <c r="AU53" s="1750" t="str">
        <f t="shared" si="270"/>
        <v>х</v>
      </c>
      <c r="AV53" s="1748" t="str">
        <f t="shared" si="270"/>
        <v>х</v>
      </c>
      <c r="AW53" s="1749" t="str">
        <f t="shared" si="270"/>
        <v>х</v>
      </c>
      <c r="AX53" s="1749" t="str">
        <f t="shared" si="270"/>
        <v>х</v>
      </c>
      <c r="AY53" s="1751" t="str">
        <f t="shared" si="270"/>
        <v>х</v>
      </c>
      <c r="AZ53" s="1752" t="str">
        <f t="shared" si="270"/>
        <v>х</v>
      </c>
      <c r="BA53" s="1748" t="str">
        <f t="shared" si="270"/>
        <v>х</v>
      </c>
      <c r="BB53" s="1749" t="str">
        <f t="shared" si="270"/>
        <v>х</v>
      </c>
      <c r="BC53" s="1749" t="str">
        <f t="shared" si="270"/>
        <v>х</v>
      </c>
      <c r="BD53" s="1750" t="str">
        <f t="shared" si="270"/>
        <v>х</v>
      </c>
      <c r="BE53" s="1752" t="str">
        <f t="shared" si="270"/>
        <v>х</v>
      </c>
      <c r="BG53" s="1745" t="s">
        <v>520</v>
      </c>
      <c r="BH53" s="1746" t="s">
        <v>2037</v>
      </c>
      <c r="BI53" s="1747" t="s">
        <v>2044</v>
      </c>
      <c r="BJ53" s="1748" t="str">
        <f t="shared" ref="BJ53:BX53" si="271">IFERROR(BJ21/BJ43*1000,"х")</f>
        <v>х</v>
      </c>
      <c r="BK53" s="1749" t="str">
        <f t="shared" si="271"/>
        <v>х</v>
      </c>
      <c r="BL53" s="1749" t="str">
        <f t="shared" si="271"/>
        <v>х</v>
      </c>
      <c r="BM53" s="1749" t="str">
        <f t="shared" si="271"/>
        <v>х</v>
      </c>
      <c r="BN53" s="1750" t="str">
        <f t="shared" si="271"/>
        <v>х</v>
      </c>
      <c r="BO53" s="1748" t="str">
        <f t="shared" si="271"/>
        <v>х</v>
      </c>
      <c r="BP53" s="1749" t="str">
        <f t="shared" si="271"/>
        <v>х</v>
      </c>
      <c r="BQ53" s="1749" t="str">
        <f t="shared" si="271"/>
        <v>х</v>
      </c>
      <c r="BR53" s="1751" t="str">
        <f t="shared" si="271"/>
        <v>х</v>
      </c>
      <c r="BS53" s="1752" t="str">
        <f t="shared" si="271"/>
        <v>х</v>
      </c>
      <c r="BT53" s="1748" t="str">
        <f t="shared" si="271"/>
        <v>х</v>
      </c>
      <c r="BU53" s="1749" t="str">
        <f t="shared" si="271"/>
        <v>х</v>
      </c>
      <c r="BV53" s="1749" t="str">
        <f t="shared" si="271"/>
        <v>х</v>
      </c>
      <c r="BW53" s="1750" t="str">
        <f t="shared" si="271"/>
        <v>х</v>
      </c>
      <c r="BX53" s="1752" t="str">
        <f t="shared" si="271"/>
        <v>х</v>
      </c>
      <c r="BY53" s="1686"/>
      <c r="BZ53" s="1760" t="s">
        <v>520</v>
      </c>
      <c r="CA53" s="1746" t="s">
        <v>2037</v>
      </c>
      <c r="CB53" s="1747" t="s">
        <v>2044</v>
      </c>
      <c r="CC53" s="1748" t="str">
        <f t="shared" ref="CC53:CQ53" si="272">IFERROR(CC21/CC43*1000,"х")</f>
        <v>х</v>
      </c>
      <c r="CD53" s="1749" t="str">
        <f t="shared" si="272"/>
        <v>х</v>
      </c>
      <c r="CE53" s="1749" t="str">
        <f t="shared" si="272"/>
        <v>х</v>
      </c>
      <c r="CF53" s="1749" t="str">
        <f t="shared" si="272"/>
        <v>х</v>
      </c>
      <c r="CG53" s="1750" t="str">
        <f t="shared" si="272"/>
        <v>х</v>
      </c>
      <c r="CH53" s="1748" t="str">
        <f t="shared" si="272"/>
        <v>х</v>
      </c>
      <c r="CI53" s="1749" t="str">
        <f t="shared" si="272"/>
        <v>х</v>
      </c>
      <c r="CJ53" s="1749" t="str">
        <f t="shared" si="272"/>
        <v>х</v>
      </c>
      <c r="CK53" s="1751" t="str">
        <f t="shared" si="272"/>
        <v>х</v>
      </c>
      <c r="CL53" s="1752" t="str">
        <f t="shared" si="272"/>
        <v>х</v>
      </c>
      <c r="CM53" s="1748" t="str">
        <f t="shared" si="272"/>
        <v>х</v>
      </c>
      <c r="CN53" s="1749" t="str">
        <f t="shared" si="272"/>
        <v>х</v>
      </c>
      <c r="CO53" s="1749" t="str">
        <f t="shared" si="272"/>
        <v>х</v>
      </c>
      <c r="CP53" s="1750" t="str">
        <f t="shared" si="272"/>
        <v>х</v>
      </c>
      <c r="CQ53" s="1752" t="str">
        <f t="shared" si="272"/>
        <v>х</v>
      </c>
    </row>
    <row r="54" spans="1:95" ht="15.75" thickBot="1"/>
    <row r="55" spans="1:95">
      <c r="B55" s="1868" t="s">
        <v>2230</v>
      </c>
      <c r="C55" s="1880"/>
      <c r="D55" s="1869"/>
      <c r="E55" s="1870"/>
      <c r="F55" s="1870"/>
      <c r="G55" s="1870"/>
      <c r="H55" s="1870"/>
      <c r="I55" s="1870"/>
      <c r="J55" s="1870"/>
      <c r="K55" s="1870"/>
      <c r="L55" s="1870"/>
      <c r="M55" s="1870"/>
      <c r="N55" s="1870"/>
      <c r="O55" s="1870"/>
      <c r="P55" s="1870"/>
      <c r="Q55" s="1870"/>
      <c r="R55" s="1870"/>
      <c r="S55" s="1871"/>
      <c r="U55" s="1868" t="s">
        <v>2230</v>
      </c>
      <c r="V55" s="1880"/>
      <c r="W55" s="1869"/>
      <c r="X55" s="1870"/>
      <c r="Y55" s="1870"/>
      <c r="Z55" s="1870"/>
      <c r="AA55" s="1870"/>
      <c r="AB55" s="1870"/>
      <c r="AC55" s="1870"/>
      <c r="AD55" s="1870"/>
      <c r="AE55" s="1870"/>
      <c r="AF55" s="1870"/>
      <c r="AG55" s="1870"/>
      <c r="AH55" s="1870"/>
      <c r="AI55" s="1870"/>
      <c r="AJ55" s="1870"/>
      <c r="AK55" s="1870"/>
      <c r="AL55" s="1871"/>
      <c r="AN55" s="1868" t="s">
        <v>2230</v>
      </c>
      <c r="AO55" s="1880"/>
      <c r="AP55" s="1869"/>
      <c r="AQ55" s="1870"/>
      <c r="AR55" s="1870"/>
      <c r="AS55" s="1870"/>
      <c r="AT55" s="1870"/>
      <c r="AU55" s="1870"/>
      <c r="AV55" s="1870"/>
      <c r="AW55" s="1870"/>
      <c r="AX55" s="1870"/>
      <c r="AY55" s="1870"/>
      <c r="AZ55" s="1870"/>
      <c r="BA55" s="1870"/>
      <c r="BB55" s="1870"/>
      <c r="BC55" s="1870"/>
      <c r="BD55" s="1870"/>
      <c r="BE55" s="1871"/>
      <c r="BG55" s="1868" t="s">
        <v>2230</v>
      </c>
      <c r="BH55" s="1880"/>
      <c r="BI55" s="1869"/>
      <c r="BJ55" s="1870"/>
      <c r="BK55" s="1870"/>
      <c r="BL55" s="1870"/>
      <c r="BM55" s="1870"/>
      <c r="BN55" s="1870"/>
      <c r="BO55" s="1870"/>
      <c r="BP55" s="1870"/>
      <c r="BQ55" s="1870"/>
      <c r="BR55" s="1870"/>
      <c r="BS55" s="1870"/>
      <c r="BT55" s="1870"/>
      <c r="BU55" s="1870"/>
      <c r="BV55" s="1870"/>
      <c r="BW55" s="1870"/>
      <c r="BX55" s="1871"/>
      <c r="BZ55" s="1868" t="s">
        <v>2230</v>
      </c>
      <c r="CA55" s="1880"/>
      <c r="CB55" s="1869"/>
      <c r="CC55" s="1870"/>
      <c r="CD55" s="1870"/>
      <c r="CE55" s="1870"/>
      <c r="CF55" s="1870"/>
      <c r="CG55" s="1870"/>
      <c r="CH55" s="1870"/>
      <c r="CI55" s="1870"/>
      <c r="CJ55" s="1870"/>
      <c r="CK55" s="1870"/>
      <c r="CL55" s="1870"/>
      <c r="CM55" s="1870"/>
      <c r="CN55" s="1870"/>
      <c r="CO55" s="1870"/>
      <c r="CP55" s="1870"/>
      <c r="CQ55" s="1871"/>
    </row>
    <row r="56" spans="1:95">
      <c r="B56" s="1877" t="s">
        <v>111</v>
      </c>
      <c r="C56" s="1881" t="s">
        <v>2231</v>
      </c>
      <c r="D56" s="1863" t="s">
        <v>1144</v>
      </c>
      <c r="E56" s="1864">
        <f>SUM(F56:I56)+E59</f>
        <v>0</v>
      </c>
      <c r="F56" s="1864">
        <f>F59+F48</f>
        <v>0</v>
      </c>
      <c r="G56" s="1864">
        <f>G59+G48</f>
        <v>0</v>
      </c>
      <c r="H56" s="1864">
        <f>H59+H48</f>
        <v>0</v>
      </c>
      <c r="I56" s="1864">
        <f>I59+I48</f>
        <v>0</v>
      </c>
      <c r="J56" s="1864">
        <f>SUM(K56:N56)+J59</f>
        <v>0</v>
      </c>
      <c r="K56" s="1864">
        <f>K59+K48</f>
        <v>0</v>
      </c>
      <c r="L56" s="1864">
        <f>L59+L48</f>
        <v>0</v>
      </c>
      <c r="M56" s="1864">
        <f>M59+M48</f>
        <v>0</v>
      </c>
      <c r="N56" s="1864">
        <f>N59+N48</f>
        <v>0</v>
      </c>
      <c r="O56" s="1864">
        <f>SUM(P56:S56)+O59</f>
        <v>0</v>
      </c>
      <c r="P56" s="1864">
        <f>K56+F56</f>
        <v>0</v>
      </c>
      <c r="Q56" s="1864">
        <f>L56+G56</f>
        <v>0</v>
      </c>
      <c r="R56" s="1864">
        <f>M56+H56</f>
        <v>0</v>
      </c>
      <c r="S56" s="1882">
        <f>N56+I56</f>
        <v>0</v>
      </c>
      <c r="U56" s="1877" t="s">
        <v>111</v>
      </c>
      <c r="V56" s="1881" t="s">
        <v>2231</v>
      </c>
      <c r="W56" s="1863" t="s">
        <v>1144</v>
      </c>
      <c r="X56" s="1864">
        <f>SUM(Y56:AB56)+X59</f>
        <v>0</v>
      </c>
      <c r="Y56" s="1864">
        <f>Y59+Y48</f>
        <v>0</v>
      </c>
      <c r="Z56" s="1864">
        <f>Z59+Z48</f>
        <v>0</v>
      </c>
      <c r="AA56" s="1864">
        <f>AA59+AA48</f>
        <v>0</v>
      </c>
      <c r="AB56" s="1864">
        <f>AB59+AB48</f>
        <v>0</v>
      </c>
      <c r="AC56" s="1864">
        <f>SUM(AD56:AG56)+AC59</f>
        <v>0</v>
      </c>
      <c r="AD56" s="1864">
        <f>AD59+AD48</f>
        <v>0</v>
      </c>
      <c r="AE56" s="1864">
        <f>AE59+AE48</f>
        <v>0</v>
      </c>
      <c r="AF56" s="1864">
        <f>AF59+AF48</f>
        <v>0</v>
      </c>
      <c r="AG56" s="1864">
        <f>AG59+AG48</f>
        <v>0</v>
      </c>
      <c r="AH56" s="1864">
        <f>SUM(AI56:AL56)+AH59</f>
        <v>0</v>
      </c>
      <c r="AI56" s="1864">
        <f>AD56+Y56</f>
        <v>0</v>
      </c>
      <c r="AJ56" s="1864">
        <f>AE56+Z56</f>
        <v>0</v>
      </c>
      <c r="AK56" s="1864">
        <f>AF56+AA56</f>
        <v>0</v>
      </c>
      <c r="AL56" s="1882">
        <f>AG56+AB56</f>
        <v>0</v>
      </c>
      <c r="AN56" s="1877" t="s">
        <v>111</v>
      </c>
      <c r="AO56" s="1881" t="s">
        <v>2231</v>
      </c>
      <c r="AP56" s="1863" t="s">
        <v>1144</v>
      </c>
      <c r="AQ56" s="1864">
        <f>SUM(AR56:AU56)+AQ59</f>
        <v>0</v>
      </c>
      <c r="AR56" s="1864">
        <f>AR59+AR48</f>
        <v>0</v>
      </c>
      <c r="AS56" s="1864">
        <f>AS59+AS48</f>
        <v>0</v>
      </c>
      <c r="AT56" s="1864">
        <f>AT59+AT48</f>
        <v>0</v>
      </c>
      <c r="AU56" s="1864">
        <f>AU59+AU48</f>
        <v>0</v>
      </c>
      <c r="AV56" s="1864">
        <f>SUM(AW56:AZ56)+AV59</f>
        <v>0</v>
      </c>
      <c r="AW56" s="1864">
        <f>AW59+AW48</f>
        <v>0</v>
      </c>
      <c r="AX56" s="1864">
        <f>AX59+AX48</f>
        <v>0</v>
      </c>
      <c r="AY56" s="1864">
        <f>AY59+AY48</f>
        <v>0</v>
      </c>
      <c r="AZ56" s="1864">
        <f>AZ59+AZ48</f>
        <v>0</v>
      </c>
      <c r="BA56" s="1864">
        <f>SUM(BB56:BE56)+BA59</f>
        <v>0</v>
      </c>
      <c r="BB56" s="1864">
        <f>AW56+AR56</f>
        <v>0</v>
      </c>
      <c r="BC56" s="1864">
        <f>AX56+AS56</f>
        <v>0</v>
      </c>
      <c r="BD56" s="1864">
        <f>AY56+AT56</f>
        <v>0</v>
      </c>
      <c r="BE56" s="1882">
        <f>AZ56+AU56</f>
        <v>0</v>
      </c>
      <c r="BG56" s="1877" t="s">
        <v>111</v>
      </c>
      <c r="BH56" s="1881" t="s">
        <v>2231</v>
      </c>
      <c r="BI56" s="1863" t="s">
        <v>1144</v>
      </c>
      <c r="BJ56" s="1864">
        <f>SUM(BK56:BN56)+BJ59</f>
        <v>0</v>
      </c>
      <c r="BK56" s="1864">
        <f>BK59+BK48</f>
        <v>0</v>
      </c>
      <c r="BL56" s="1864">
        <f>BL59+BL48</f>
        <v>0</v>
      </c>
      <c r="BM56" s="1864">
        <f>BM59+BM48</f>
        <v>0</v>
      </c>
      <c r="BN56" s="1864">
        <f>BN59+BN48</f>
        <v>0</v>
      </c>
      <c r="BO56" s="1864">
        <f>SUM(BP56:BS56)+BO59</f>
        <v>0</v>
      </c>
      <c r="BP56" s="1864">
        <f>BP59+BP48</f>
        <v>0</v>
      </c>
      <c r="BQ56" s="1864">
        <f>BQ59+BQ48</f>
        <v>0</v>
      </c>
      <c r="BR56" s="1864">
        <f>BR59+BR48</f>
        <v>0</v>
      </c>
      <c r="BS56" s="1864">
        <f>BS59+BS48</f>
        <v>0</v>
      </c>
      <c r="BT56" s="1864">
        <f>SUM(BU56:BX56)+BT59</f>
        <v>0</v>
      </c>
      <c r="BU56" s="1864">
        <f>BP56+BK56</f>
        <v>0</v>
      </c>
      <c r="BV56" s="1864">
        <f>BQ56+BL56</f>
        <v>0</v>
      </c>
      <c r="BW56" s="1864">
        <f>BR56+BM56</f>
        <v>0</v>
      </c>
      <c r="BX56" s="1882">
        <f>BS56+BN56</f>
        <v>0</v>
      </c>
      <c r="BZ56" s="1877" t="s">
        <v>111</v>
      </c>
      <c r="CA56" s="1881" t="s">
        <v>2231</v>
      </c>
      <c r="CB56" s="1863" t="s">
        <v>1144</v>
      </c>
      <c r="CC56" s="1864">
        <f>SUM(CD56:CG56)+CC59</f>
        <v>0</v>
      </c>
      <c r="CD56" s="1864">
        <f>CD59+CD48</f>
        <v>0</v>
      </c>
      <c r="CE56" s="1864">
        <f>CE59+CE48</f>
        <v>0</v>
      </c>
      <c r="CF56" s="1864">
        <f>CF59+CF48</f>
        <v>0</v>
      </c>
      <c r="CG56" s="1864">
        <f>CG59+CG48</f>
        <v>0</v>
      </c>
      <c r="CH56" s="1864">
        <f>SUM(CI56:CL56)+CH59</f>
        <v>0</v>
      </c>
      <c r="CI56" s="1864">
        <f>CI59+CI48</f>
        <v>0</v>
      </c>
      <c r="CJ56" s="1864">
        <f>CJ59+CJ48</f>
        <v>0</v>
      </c>
      <c r="CK56" s="1864">
        <f>CK59+CK48</f>
        <v>0</v>
      </c>
      <c r="CL56" s="1864">
        <f>CL59+CL48</f>
        <v>0</v>
      </c>
      <c r="CM56" s="1864">
        <f>SUM(CN56:CQ56)+CM59</f>
        <v>0</v>
      </c>
      <c r="CN56" s="1864">
        <f>CI56+CD56</f>
        <v>0</v>
      </c>
      <c r="CO56" s="1864">
        <f>CJ56+CE56</f>
        <v>0</v>
      </c>
      <c r="CP56" s="1864">
        <f>CK56+CF56</f>
        <v>0</v>
      </c>
      <c r="CQ56" s="1882">
        <f>CL56+CG56</f>
        <v>0</v>
      </c>
    </row>
    <row r="57" spans="1:95" ht="38.25">
      <c r="B57" s="1878" t="s">
        <v>113</v>
      </c>
      <c r="C57" s="1883" t="s">
        <v>2232</v>
      </c>
      <c r="D57" s="1863" t="s">
        <v>1144</v>
      </c>
      <c r="E57" s="1865"/>
      <c r="F57" s="1866"/>
      <c r="G57" s="1866"/>
      <c r="H57" s="1866"/>
      <c r="I57" s="1866"/>
      <c r="J57" s="1867"/>
      <c r="K57" s="1866"/>
      <c r="L57" s="1866"/>
      <c r="M57" s="1866"/>
      <c r="N57" s="1866"/>
      <c r="O57" s="1865"/>
      <c r="P57" s="1866"/>
      <c r="Q57" s="1866"/>
      <c r="R57" s="1866"/>
      <c r="S57" s="1872"/>
      <c r="U57" s="1878" t="s">
        <v>113</v>
      </c>
      <c r="V57" s="1883" t="s">
        <v>2232</v>
      </c>
      <c r="W57" s="1863" t="s">
        <v>1144</v>
      </c>
      <c r="X57" s="1865"/>
      <c r="Y57" s="1866"/>
      <c r="Z57" s="1866"/>
      <c r="AA57" s="1866"/>
      <c r="AB57" s="1866"/>
      <c r="AC57" s="1867"/>
      <c r="AD57" s="1866"/>
      <c r="AE57" s="1866"/>
      <c r="AF57" s="1866"/>
      <c r="AG57" s="1866"/>
      <c r="AH57" s="1865"/>
      <c r="AI57" s="1866"/>
      <c r="AJ57" s="1866"/>
      <c r="AK57" s="1866"/>
      <c r="AL57" s="1872"/>
      <c r="AN57" s="1878" t="s">
        <v>113</v>
      </c>
      <c r="AO57" s="1883" t="s">
        <v>2232</v>
      </c>
      <c r="AP57" s="1863" t="s">
        <v>1144</v>
      </c>
      <c r="AQ57" s="1865"/>
      <c r="AR57" s="1866"/>
      <c r="AS57" s="1866"/>
      <c r="AT57" s="1866"/>
      <c r="AU57" s="1866"/>
      <c r="AV57" s="1867"/>
      <c r="AW57" s="1866"/>
      <c r="AX57" s="1866"/>
      <c r="AY57" s="1866"/>
      <c r="AZ57" s="1866"/>
      <c r="BA57" s="1865"/>
      <c r="BB57" s="1866"/>
      <c r="BC57" s="1866"/>
      <c r="BD57" s="1866"/>
      <c r="BE57" s="1872"/>
      <c r="BG57" s="1878" t="s">
        <v>113</v>
      </c>
      <c r="BH57" s="1883" t="s">
        <v>2232</v>
      </c>
      <c r="BI57" s="1863" t="s">
        <v>1144</v>
      </c>
      <c r="BJ57" s="1865"/>
      <c r="BK57" s="1866"/>
      <c r="BL57" s="1866"/>
      <c r="BM57" s="1866"/>
      <c r="BN57" s="1866"/>
      <c r="BO57" s="1867"/>
      <c r="BP57" s="1866"/>
      <c r="BQ57" s="1866"/>
      <c r="BR57" s="1866"/>
      <c r="BS57" s="1866"/>
      <c r="BT57" s="1865"/>
      <c r="BU57" s="1866"/>
      <c r="BV57" s="1866"/>
      <c r="BW57" s="1866"/>
      <c r="BX57" s="1872"/>
      <c r="BZ57" s="1878" t="s">
        <v>113</v>
      </c>
      <c r="CA57" s="1883" t="s">
        <v>2232</v>
      </c>
      <c r="CB57" s="1863" t="s">
        <v>1144</v>
      </c>
      <c r="CC57" s="1865"/>
      <c r="CD57" s="1866"/>
      <c r="CE57" s="1866"/>
      <c r="CF57" s="1866"/>
      <c r="CG57" s="1866"/>
      <c r="CH57" s="1867"/>
      <c r="CI57" s="1866"/>
      <c r="CJ57" s="1866"/>
      <c r="CK57" s="1866"/>
      <c r="CL57" s="1866"/>
      <c r="CM57" s="1865"/>
      <c r="CN57" s="1866"/>
      <c r="CO57" s="1866"/>
      <c r="CP57" s="1866"/>
      <c r="CQ57" s="1872"/>
    </row>
    <row r="58" spans="1:95" ht="38.25">
      <c r="B58" s="1878" t="s">
        <v>818</v>
      </c>
      <c r="C58" s="1883" t="s">
        <v>2233</v>
      </c>
      <c r="D58" s="1863" t="s">
        <v>1144</v>
      </c>
      <c r="E58" s="1865"/>
      <c r="F58" s="1866"/>
      <c r="G58" s="1866"/>
      <c r="H58" s="1866"/>
      <c r="I58" s="1866"/>
      <c r="J58" s="1867"/>
      <c r="K58" s="1866"/>
      <c r="L58" s="1866"/>
      <c r="M58" s="1866"/>
      <c r="N58" s="1866"/>
      <c r="O58" s="1865"/>
      <c r="P58" s="1866"/>
      <c r="Q58" s="1866"/>
      <c r="R58" s="1866"/>
      <c r="S58" s="1872"/>
      <c r="U58" s="1878" t="s">
        <v>818</v>
      </c>
      <c r="V58" s="1883" t="s">
        <v>2233</v>
      </c>
      <c r="W58" s="1863" t="s">
        <v>1144</v>
      </c>
      <c r="X58" s="1865"/>
      <c r="Y58" s="1866"/>
      <c r="Z58" s="1866"/>
      <c r="AA58" s="1866"/>
      <c r="AB58" s="1866"/>
      <c r="AC58" s="1867"/>
      <c r="AD58" s="1866"/>
      <c r="AE58" s="1866"/>
      <c r="AF58" s="1866"/>
      <c r="AG58" s="1866"/>
      <c r="AH58" s="1865"/>
      <c r="AI58" s="1866"/>
      <c r="AJ58" s="1866"/>
      <c r="AK58" s="1866"/>
      <c r="AL58" s="1872"/>
      <c r="AN58" s="1878" t="s">
        <v>818</v>
      </c>
      <c r="AO58" s="1883" t="s">
        <v>2233</v>
      </c>
      <c r="AP58" s="1863" t="s">
        <v>1144</v>
      </c>
      <c r="AQ58" s="1865"/>
      <c r="AR58" s="1866"/>
      <c r="AS58" s="1866"/>
      <c r="AT58" s="1866"/>
      <c r="AU58" s="1866"/>
      <c r="AV58" s="1867"/>
      <c r="AW58" s="1866"/>
      <c r="AX58" s="1866"/>
      <c r="AY58" s="1866"/>
      <c r="AZ58" s="1866"/>
      <c r="BA58" s="1865"/>
      <c r="BB58" s="1866"/>
      <c r="BC58" s="1866"/>
      <c r="BD58" s="1866"/>
      <c r="BE58" s="1872"/>
      <c r="BG58" s="1878" t="s">
        <v>818</v>
      </c>
      <c r="BH58" s="1883" t="s">
        <v>2233</v>
      </c>
      <c r="BI58" s="1863" t="s">
        <v>1144</v>
      </c>
      <c r="BJ58" s="1865"/>
      <c r="BK58" s="1866"/>
      <c r="BL58" s="1866"/>
      <c r="BM58" s="1866"/>
      <c r="BN58" s="1866"/>
      <c r="BO58" s="1867"/>
      <c r="BP58" s="1866"/>
      <c r="BQ58" s="1866"/>
      <c r="BR58" s="1866"/>
      <c r="BS58" s="1866"/>
      <c r="BT58" s="1865"/>
      <c r="BU58" s="1866"/>
      <c r="BV58" s="1866"/>
      <c r="BW58" s="1866"/>
      <c r="BX58" s="1872"/>
      <c r="BZ58" s="1878" t="s">
        <v>818</v>
      </c>
      <c r="CA58" s="1883" t="s">
        <v>2233</v>
      </c>
      <c r="CB58" s="1863" t="s">
        <v>1144</v>
      </c>
      <c r="CC58" s="1865"/>
      <c r="CD58" s="1866"/>
      <c r="CE58" s="1866"/>
      <c r="CF58" s="1866"/>
      <c r="CG58" s="1866"/>
      <c r="CH58" s="1867"/>
      <c r="CI58" s="1866"/>
      <c r="CJ58" s="1866"/>
      <c r="CK58" s="1866"/>
      <c r="CL58" s="1866"/>
      <c r="CM58" s="1865"/>
      <c r="CN58" s="1866"/>
      <c r="CO58" s="1866"/>
      <c r="CP58" s="1866"/>
      <c r="CQ58" s="1872"/>
    </row>
    <row r="59" spans="1:95" ht="15.75" thickBot="1">
      <c r="B59" s="1879" t="s">
        <v>820</v>
      </c>
      <c r="C59" s="1884" t="s">
        <v>2234</v>
      </c>
      <c r="D59" s="1873" t="s">
        <v>1144</v>
      </c>
      <c r="E59" s="1874">
        <f>SUM(E60:E61)</f>
        <v>0</v>
      </c>
      <c r="F59" s="1875"/>
      <c r="G59" s="1875"/>
      <c r="H59" s="1875"/>
      <c r="I59" s="1875"/>
      <c r="J59" s="1874">
        <f>SUM(J60:J61)</f>
        <v>0</v>
      </c>
      <c r="K59" s="1875"/>
      <c r="L59" s="1875"/>
      <c r="M59" s="1875"/>
      <c r="N59" s="1875"/>
      <c r="O59" s="1874">
        <f>J59+E59</f>
        <v>0</v>
      </c>
      <c r="P59" s="1875"/>
      <c r="Q59" s="1875"/>
      <c r="R59" s="1875"/>
      <c r="S59" s="1876"/>
      <c r="U59" s="1879" t="s">
        <v>820</v>
      </c>
      <c r="V59" s="1884" t="s">
        <v>2234</v>
      </c>
      <c r="W59" s="1873" t="s">
        <v>1144</v>
      </c>
      <c r="X59" s="1874">
        <f>SUM(X60:X61)</f>
        <v>0</v>
      </c>
      <c r="Y59" s="1875"/>
      <c r="Z59" s="1875"/>
      <c r="AA59" s="1875"/>
      <c r="AB59" s="1875"/>
      <c r="AC59" s="1874">
        <f>SUM(AC60:AC61)</f>
        <v>0</v>
      </c>
      <c r="AD59" s="1875"/>
      <c r="AE59" s="1875"/>
      <c r="AF59" s="1875"/>
      <c r="AG59" s="1875"/>
      <c r="AH59" s="1874">
        <f>AC59+X59</f>
        <v>0</v>
      </c>
      <c r="AI59" s="1875"/>
      <c r="AJ59" s="1875"/>
      <c r="AK59" s="1875"/>
      <c r="AL59" s="1876"/>
      <c r="AN59" s="1879" t="s">
        <v>820</v>
      </c>
      <c r="AO59" s="1884" t="s">
        <v>2234</v>
      </c>
      <c r="AP59" s="1873" t="s">
        <v>1144</v>
      </c>
      <c r="AQ59" s="1874">
        <f>SUM(AQ60:AQ61)</f>
        <v>0</v>
      </c>
      <c r="AR59" s="1875"/>
      <c r="AS59" s="1875"/>
      <c r="AT59" s="1875"/>
      <c r="AU59" s="1875"/>
      <c r="AV59" s="1874">
        <f>SUM(AV60:AV61)</f>
        <v>0</v>
      </c>
      <c r="AW59" s="1875"/>
      <c r="AX59" s="1875"/>
      <c r="AY59" s="1875"/>
      <c r="AZ59" s="1875"/>
      <c r="BA59" s="1874">
        <f>AV59+AQ59</f>
        <v>0</v>
      </c>
      <c r="BB59" s="1875"/>
      <c r="BC59" s="1875"/>
      <c r="BD59" s="1875"/>
      <c r="BE59" s="1876"/>
      <c r="BG59" s="1879" t="s">
        <v>820</v>
      </c>
      <c r="BH59" s="1884" t="s">
        <v>2234</v>
      </c>
      <c r="BI59" s="1873" t="s">
        <v>1144</v>
      </c>
      <c r="BJ59" s="1874">
        <f>SUM(BJ60:BJ61)</f>
        <v>0</v>
      </c>
      <c r="BK59" s="1875"/>
      <c r="BL59" s="1875"/>
      <c r="BM59" s="1875"/>
      <c r="BN59" s="1875"/>
      <c r="BO59" s="1874">
        <f>SUM(BO60:BO61)</f>
        <v>0</v>
      </c>
      <c r="BP59" s="1875"/>
      <c r="BQ59" s="1875"/>
      <c r="BR59" s="1875"/>
      <c r="BS59" s="1875"/>
      <c r="BT59" s="1874">
        <f>BO59+BJ59</f>
        <v>0</v>
      </c>
      <c r="BU59" s="1875"/>
      <c r="BV59" s="1875"/>
      <c r="BW59" s="1875"/>
      <c r="BX59" s="1876"/>
      <c r="BZ59" s="1879" t="s">
        <v>820</v>
      </c>
      <c r="CA59" s="1884" t="s">
        <v>2234</v>
      </c>
      <c r="CB59" s="1873" t="s">
        <v>1144</v>
      </c>
      <c r="CC59" s="1874">
        <f>SUM(CC60:CC61)</f>
        <v>0</v>
      </c>
      <c r="CD59" s="1875"/>
      <c r="CE59" s="1875"/>
      <c r="CF59" s="1875"/>
      <c r="CG59" s="1875"/>
      <c r="CH59" s="1874">
        <f>SUM(CH60:CH61)</f>
        <v>0</v>
      </c>
      <c r="CI59" s="1875"/>
      <c r="CJ59" s="1875"/>
      <c r="CK59" s="1875"/>
      <c r="CL59" s="1875"/>
      <c r="CM59" s="1874">
        <f>CH59+CC59</f>
        <v>0</v>
      </c>
      <c r="CN59" s="1875"/>
      <c r="CO59" s="1875"/>
      <c r="CP59" s="1875"/>
      <c r="CQ59" s="1876"/>
    </row>
  </sheetData>
  <mergeCells count="130">
    <mergeCell ref="E4:S4"/>
    <mergeCell ref="AQ3:BE3"/>
    <mergeCell ref="BJ3:BX3"/>
    <mergeCell ref="CC3:CQ3"/>
    <mergeCell ref="E3:S3"/>
    <mergeCell ref="E26:S26"/>
    <mergeCell ref="B22:D22"/>
    <mergeCell ref="E25:S25"/>
    <mergeCell ref="CB6:CB7"/>
    <mergeCell ref="CC6:CG6"/>
    <mergeCell ref="CH6:CL6"/>
    <mergeCell ref="CM6:CQ6"/>
    <mergeCell ref="BA6:BE6"/>
    <mergeCell ref="O6:S6"/>
    <mergeCell ref="B6:B7"/>
    <mergeCell ref="C6:C7"/>
    <mergeCell ref="D6:D7"/>
    <mergeCell ref="E6:I6"/>
    <mergeCell ref="J6:N6"/>
    <mergeCell ref="X3:AL3"/>
    <mergeCell ref="X4:AL4"/>
    <mergeCell ref="U6:U7"/>
    <mergeCell ref="V6:V7"/>
    <mergeCell ref="W6:W7"/>
    <mergeCell ref="CC28:CG28"/>
    <mergeCell ref="CH28:CL28"/>
    <mergeCell ref="CM28:CQ28"/>
    <mergeCell ref="BA28:BE28"/>
    <mergeCell ref="AH28:AL28"/>
    <mergeCell ref="BG28:BG29"/>
    <mergeCell ref="BH28:BH29"/>
    <mergeCell ref="BI28:BI29"/>
    <mergeCell ref="B28:B29"/>
    <mergeCell ref="C28:C29"/>
    <mergeCell ref="D28:D29"/>
    <mergeCell ref="E28:I28"/>
    <mergeCell ref="J28:N28"/>
    <mergeCell ref="O28:S28"/>
    <mergeCell ref="CA28:CA29"/>
    <mergeCell ref="CB28:CB29"/>
    <mergeCell ref="BJ28:BN28"/>
    <mergeCell ref="BO28:BS28"/>
    <mergeCell ref="BT28:BX28"/>
    <mergeCell ref="BZ28:BZ29"/>
    <mergeCell ref="B49:B50"/>
    <mergeCell ref="C49:C50"/>
    <mergeCell ref="D49:D50"/>
    <mergeCell ref="E49:I49"/>
    <mergeCell ref="J49:N49"/>
    <mergeCell ref="O49:S49"/>
    <mergeCell ref="E47:S47"/>
    <mergeCell ref="B44:D44"/>
    <mergeCell ref="E46:S46"/>
    <mergeCell ref="BA49:BE49"/>
    <mergeCell ref="BG49:BG50"/>
    <mergeCell ref="BH49:BH50"/>
    <mergeCell ref="BI49:BI50"/>
    <mergeCell ref="BJ49:BN49"/>
    <mergeCell ref="AN49:AN50"/>
    <mergeCell ref="AO49:AO50"/>
    <mergeCell ref="AP49:AP50"/>
    <mergeCell ref="AQ49:AU49"/>
    <mergeCell ref="AV49:AZ49"/>
    <mergeCell ref="U49:U50"/>
    <mergeCell ref="V49:V50"/>
    <mergeCell ref="W49:W50"/>
    <mergeCell ref="X49:AB49"/>
    <mergeCell ref="AC49:AG49"/>
    <mergeCell ref="AH49:AL49"/>
    <mergeCell ref="AC6:AG6"/>
    <mergeCell ref="AH6:AL6"/>
    <mergeCell ref="U22:W22"/>
    <mergeCell ref="X25:AL25"/>
    <mergeCell ref="X26:AL26"/>
    <mergeCell ref="U28:U29"/>
    <mergeCell ref="V28:V29"/>
    <mergeCell ref="W28:W29"/>
    <mergeCell ref="X28:AB28"/>
    <mergeCell ref="AC28:AG28"/>
    <mergeCell ref="X6:AB6"/>
    <mergeCell ref="AQ4:BE4"/>
    <mergeCell ref="AN6:AN7"/>
    <mergeCell ref="AO6:AO7"/>
    <mergeCell ref="AP6:AP7"/>
    <mergeCell ref="AQ6:AU6"/>
    <mergeCell ref="AV6:AZ6"/>
    <mergeCell ref="U44:W44"/>
    <mergeCell ref="X46:AL46"/>
    <mergeCell ref="X47:AL47"/>
    <mergeCell ref="AN44:AP44"/>
    <mergeCell ref="AQ46:BE46"/>
    <mergeCell ref="AQ47:BE47"/>
    <mergeCell ref="AN22:AP22"/>
    <mergeCell ref="AQ25:BE25"/>
    <mergeCell ref="AQ26:BE26"/>
    <mergeCell ref="AN28:AN29"/>
    <mergeCell ref="AO28:AO29"/>
    <mergeCell ref="AP28:AP29"/>
    <mergeCell ref="AQ28:AU28"/>
    <mergeCell ref="AV28:AZ28"/>
    <mergeCell ref="CC25:CQ25"/>
    <mergeCell ref="BJ26:BX26"/>
    <mergeCell ref="CC26:CQ26"/>
    <mergeCell ref="BJ4:BX4"/>
    <mergeCell ref="CC4:CQ4"/>
    <mergeCell ref="BG6:BG7"/>
    <mergeCell ref="BH6:BH7"/>
    <mergeCell ref="BI6:BI7"/>
    <mergeCell ref="BJ6:BN6"/>
    <mergeCell ref="BO6:BS6"/>
    <mergeCell ref="BT6:BX6"/>
    <mergeCell ref="BZ6:BZ7"/>
    <mergeCell ref="CA6:CA7"/>
    <mergeCell ref="BG22:BI22"/>
    <mergeCell ref="BZ22:CB22"/>
    <mergeCell ref="BJ25:BX25"/>
    <mergeCell ref="CB49:CB50"/>
    <mergeCell ref="CC49:CG49"/>
    <mergeCell ref="CH49:CL49"/>
    <mergeCell ref="CM49:CQ49"/>
    <mergeCell ref="BG44:BI44"/>
    <mergeCell ref="BZ44:CB44"/>
    <mergeCell ref="BJ46:BX46"/>
    <mergeCell ref="CC46:CQ46"/>
    <mergeCell ref="BJ47:BX47"/>
    <mergeCell ref="CC47:CQ47"/>
    <mergeCell ref="CA49:CA50"/>
    <mergeCell ref="BO49:BS49"/>
    <mergeCell ref="BT49:BX49"/>
    <mergeCell ref="BZ49:BZ50"/>
  </mergeCells>
  <dataValidations count="1">
    <dataValidation type="decimal" allowBlank="1" showInputMessage="1" showErrorMessage="1" error="Ввведеное значение неверно" sqref="O57:O59 J57:J59 E57:E59 F56:I56 K56:N56 P56:S56 AH57:AH59 AC57:AC59 X57:X59 Y56:AB56 AD56:AG56 AI56:AL56 BA57:BA59 AV57:AV59 AQ57:AQ59 AR56:AU56 AW56:AZ56 BB56:BE56 BT57:BT59 BO57:BO59 BJ57:BJ59 BK56:BN56 BP56:BS56 BU56:BX56 CM57:CM59 CH57:CH59 CC57:CC59 CD56:CG56 CI56:CL56 CN56:CQ56">
      <formula1>-1000000000000000</formula1>
      <formula2>1000000000000000</formula2>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A61"/>
  <sheetViews>
    <sheetView zoomScale="55" zoomScaleNormal="55" workbookViewId="0">
      <selection activeCell="BN29" sqref="BN29"/>
    </sheetView>
  </sheetViews>
  <sheetFormatPr defaultRowHeight="15" outlineLevelCol="1"/>
  <cols>
    <col min="1" max="1" width="2.7109375" style="1490" customWidth="1"/>
    <col min="2" max="2" width="5.7109375" style="1490" customWidth="1"/>
    <col min="3" max="3" width="50.7109375" style="1490" customWidth="1"/>
    <col min="4" max="4" width="11.7109375" style="1490" customWidth="1"/>
    <col min="5" max="19" width="12.7109375" style="1490" customWidth="1"/>
    <col min="20" max="20" width="2.7109375" style="1490" customWidth="1"/>
    <col min="21" max="35" width="12.7109375" style="1490" customWidth="1"/>
    <col min="36" max="36" width="2.7109375" style="1490" customWidth="1"/>
    <col min="37" max="51" width="12.7109375" style="1490" hidden="1" customWidth="1" outlineLevel="1"/>
    <col min="52" max="52" width="0" style="1490" hidden="1" customWidth="1" outlineLevel="1"/>
    <col min="53" max="53" width="9.140625" style="1490" collapsed="1"/>
    <col min="54" max="16384" width="9.140625" style="1490"/>
  </cols>
  <sheetData>
    <row r="1" spans="1:51" ht="26.25">
      <c r="A1" s="1489"/>
      <c r="U1" s="1757" t="s">
        <v>1330</v>
      </c>
      <c r="AK1" s="1757" t="s">
        <v>1290</v>
      </c>
    </row>
    <row r="2" spans="1:51">
      <c r="A2" s="1489"/>
    </row>
    <row r="3" spans="1:51" ht="20.25">
      <c r="A3" s="1489"/>
      <c r="E3" s="2188" t="s">
        <v>2063</v>
      </c>
      <c r="F3" s="2188"/>
      <c r="G3" s="2188"/>
      <c r="H3" s="2188"/>
      <c r="I3" s="2188"/>
      <c r="J3" s="2188"/>
      <c r="K3" s="2188"/>
      <c r="L3" s="2188"/>
      <c r="M3" s="2188"/>
      <c r="N3" s="2188"/>
      <c r="O3" s="2188"/>
      <c r="P3" s="2188"/>
      <c r="Q3" s="2188"/>
      <c r="R3" s="2188"/>
      <c r="S3" s="2188"/>
      <c r="U3" s="2188" t="s">
        <v>2063</v>
      </c>
      <c r="V3" s="2188"/>
      <c r="W3" s="2188"/>
      <c r="X3" s="2188"/>
      <c r="Y3" s="2188"/>
      <c r="Z3" s="2188"/>
      <c r="AA3" s="2188"/>
      <c r="AB3" s="2188"/>
      <c r="AC3" s="2188"/>
      <c r="AD3" s="2188"/>
      <c r="AE3" s="2188"/>
      <c r="AF3" s="2188"/>
      <c r="AG3" s="2188"/>
      <c r="AH3" s="2188"/>
      <c r="AI3" s="2188"/>
      <c r="AK3" s="2188" t="s">
        <v>2063</v>
      </c>
      <c r="AL3" s="2188"/>
      <c r="AM3" s="2188"/>
      <c r="AN3" s="2188"/>
      <c r="AO3" s="2188"/>
      <c r="AP3" s="2188"/>
      <c r="AQ3" s="2188"/>
      <c r="AR3" s="2188"/>
      <c r="AS3" s="2188"/>
      <c r="AT3" s="2188"/>
      <c r="AU3" s="2188"/>
      <c r="AV3" s="2188"/>
      <c r="AW3" s="2188"/>
      <c r="AX3" s="2188"/>
      <c r="AY3" s="2188"/>
    </row>
    <row r="4" spans="1:51" ht="20.25">
      <c r="A4" s="1489"/>
      <c r="E4" s="2188" t="str">
        <f>"в границах «котла» "&amp;'0. Анкета'!$C$4</f>
        <v xml:space="preserve">в границах «котла» </v>
      </c>
      <c r="F4" s="2188"/>
      <c r="G4" s="2188"/>
      <c r="H4" s="2188"/>
      <c r="I4" s="2188"/>
      <c r="J4" s="2188"/>
      <c r="K4" s="2188"/>
      <c r="L4" s="2188"/>
      <c r="M4" s="2188"/>
      <c r="N4" s="2188"/>
      <c r="O4" s="2188"/>
      <c r="P4" s="2188"/>
      <c r="Q4" s="2188"/>
      <c r="R4" s="2188"/>
      <c r="S4" s="2188"/>
      <c r="U4" s="2188" t="str">
        <f>"в границах «котла» "&amp;'0. Анкета'!$C$4</f>
        <v xml:space="preserve">в границах «котла» </v>
      </c>
      <c r="V4" s="2188"/>
      <c r="W4" s="2188"/>
      <c r="X4" s="2188"/>
      <c r="Y4" s="2188"/>
      <c r="Z4" s="2188"/>
      <c r="AA4" s="2188"/>
      <c r="AB4" s="2188"/>
      <c r="AC4" s="2188"/>
      <c r="AD4" s="2188"/>
      <c r="AE4" s="2188"/>
      <c r="AF4" s="2188"/>
      <c r="AG4" s="2188"/>
      <c r="AH4" s="2188"/>
      <c r="AI4" s="2188"/>
      <c r="AK4" s="2188" t="str">
        <f>"в границах «котла» "&amp;'0. Анкета'!$C$4</f>
        <v xml:space="preserve">в границах «котла» </v>
      </c>
      <c r="AL4" s="2188"/>
      <c r="AM4" s="2188"/>
      <c r="AN4" s="2188"/>
      <c r="AO4" s="2188"/>
      <c r="AP4" s="2188"/>
      <c r="AQ4" s="2188"/>
      <c r="AR4" s="2188"/>
      <c r="AS4" s="2188"/>
      <c r="AT4" s="2188"/>
      <c r="AU4" s="2188"/>
      <c r="AV4" s="2188"/>
      <c r="AW4" s="2188"/>
      <c r="AX4" s="2188"/>
      <c r="AY4" s="2188"/>
    </row>
    <row r="5" spans="1:51" ht="18.75" thickBot="1">
      <c r="B5" s="1492"/>
    </row>
    <row r="6" spans="1:51" ht="15.75" customHeight="1">
      <c r="A6" s="1685"/>
      <c r="B6" s="2199" t="s">
        <v>12</v>
      </c>
      <c r="C6" s="2189" t="s">
        <v>261</v>
      </c>
      <c r="D6" s="2180" t="s">
        <v>262</v>
      </c>
      <c r="E6" s="2182" t="str">
        <f>"I полугодие "&amp;'0. Анкета'!C15-1&amp;" года (Тарифно-балансовое решение)"</f>
        <v>I полугодие 2023 года (Тарифно-балансовое решение)</v>
      </c>
      <c r="F6" s="2183"/>
      <c r="G6" s="2183"/>
      <c r="H6" s="2183"/>
      <c r="I6" s="2184"/>
      <c r="J6" s="2182" t="str">
        <f>"II полугодие "&amp;'0. Анкета'!C15-1&amp;" года (Тарифно-балансовое решение)"</f>
        <v>II полугодие 2023 года (Тарифно-балансовое решение)</v>
      </c>
      <c r="K6" s="2183"/>
      <c r="L6" s="2183"/>
      <c r="M6" s="2183"/>
      <c r="N6" s="2184"/>
      <c r="O6" s="2182" t="str">
        <f>'0. Анкета'!C15-1&amp;" год (Тарифно-балансовое решение)"</f>
        <v>2023 год (Тарифно-балансовое решение)</v>
      </c>
      <c r="P6" s="2183"/>
      <c r="Q6" s="2183"/>
      <c r="R6" s="2183"/>
      <c r="S6" s="2184"/>
      <c r="T6" s="1686"/>
      <c r="U6" s="2183" t="str">
        <f>"I полугодие "&amp;'0. Анкета'!C15&amp;" года (Предложение Организации)"</f>
        <v>I полугодие 2024 года (Предложение Организации)</v>
      </c>
      <c r="V6" s="2183"/>
      <c r="W6" s="2183"/>
      <c r="X6" s="2183"/>
      <c r="Y6" s="2184"/>
      <c r="Z6" s="2182" t="str">
        <f>"II полугодие "&amp;'0. Анкета'!C15&amp;" года (Предложение Организации)"</f>
        <v>II полугодие 2024 года (Предложение Организации)</v>
      </c>
      <c r="AA6" s="2183"/>
      <c r="AB6" s="2183"/>
      <c r="AC6" s="2183"/>
      <c r="AD6" s="2184"/>
      <c r="AE6" s="2182" t="str">
        <f>'0. Анкета'!C15&amp;" год (Предложение Организации)"</f>
        <v>2024 год (Предложение Организации)</v>
      </c>
      <c r="AF6" s="2183"/>
      <c r="AG6" s="2183"/>
      <c r="AH6" s="2183"/>
      <c r="AI6" s="2184"/>
      <c r="AK6" s="2182" t="str">
        <f>"I полугодие "&amp;'0. Анкета'!C15&amp;" года (Согласовано Экспертами)"</f>
        <v>I полугодие 2024 года (Согласовано Экспертами)</v>
      </c>
      <c r="AL6" s="2183"/>
      <c r="AM6" s="2183"/>
      <c r="AN6" s="2183"/>
      <c r="AO6" s="2184"/>
      <c r="AP6" s="2182" t="str">
        <f>"II полугодие "&amp;'0. Анкета'!C15&amp;" года (Согласовано Экспертами)"</f>
        <v>II полугодие 2024 года (Согласовано Экспертами)</v>
      </c>
      <c r="AQ6" s="2183"/>
      <c r="AR6" s="2183"/>
      <c r="AS6" s="2183"/>
      <c r="AT6" s="2184"/>
      <c r="AU6" s="2182" t="str">
        <f>'0. Анкета'!C15&amp;" год (Согласовано Экспертами)"</f>
        <v>2024 год (Согласовано Экспертами)</v>
      </c>
      <c r="AV6" s="2183"/>
      <c r="AW6" s="2183"/>
      <c r="AX6" s="2183"/>
      <c r="AY6" s="2184"/>
    </row>
    <row r="7" spans="1:51" ht="16.5" thickBot="1">
      <c r="A7" s="1685"/>
      <c r="B7" s="2200"/>
      <c r="C7" s="2194"/>
      <c r="D7" s="2195"/>
      <c r="E7" s="1494" t="s">
        <v>2025</v>
      </c>
      <c r="F7" s="1612" t="s">
        <v>168</v>
      </c>
      <c r="G7" s="1612" t="s">
        <v>208</v>
      </c>
      <c r="H7" s="1612" t="s">
        <v>209</v>
      </c>
      <c r="I7" s="1613" t="s">
        <v>171</v>
      </c>
      <c r="J7" s="1494" t="s">
        <v>2025</v>
      </c>
      <c r="K7" s="1612" t="s">
        <v>168</v>
      </c>
      <c r="L7" s="1612" t="s">
        <v>208</v>
      </c>
      <c r="M7" s="1612" t="s">
        <v>209</v>
      </c>
      <c r="N7" s="1613" t="s">
        <v>171</v>
      </c>
      <c r="O7" s="1494" t="s">
        <v>2025</v>
      </c>
      <c r="P7" s="1612" t="s">
        <v>168</v>
      </c>
      <c r="Q7" s="1612" t="s">
        <v>208</v>
      </c>
      <c r="R7" s="1612" t="s">
        <v>209</v>
      </c>
      <c r="S7" s="1613" t="s">
        <v>171</v>
      </c>
      <c r="T7" s="1686"/>
      <c r="U7" s="1611" t="s">
        <v>2025</v>
      </c>
      <c r="V7" s="1612" t="s">
        <v>168</v>
      </c>
      <c r="W7" s="1612" t="s">
        <v>208</v>
      </c>
      <c r="X7" s="1612" t="s">
        <v>209</v>
      </c>
      <c r="Y7" s="1613" t="s">
        <v>171</v>
      </c>
      <c r="Z7" s="1494" t="s">
        <v>2025</v>
      </c>
      <c r="AA7" s="1612" t="s">
        <v>168</v>
      </c>
      <c r="AB7" s="1612" t="s">
        <v>208</v>
      </c>
      <c r="AC7" s="1612" t="s">
        <v>209</v>
      </c>
      <c r="AD7" s="1613" t="s">
        <v>171</v>
      </c>
      <c r="AE7" s="1494" t="s">
        <v>2025</v>
      </c>
      <c r="AF7" s="1612" t="s">
        <v>168</v>
      </c>
      <c r="AG7" s="1612" t="s">
        <v>208</v>
      </c>
      <c r="AH7" s="1612" t="s">
        <v>209</v>
      </c>
      <c r="AI7" s="1613" t="s">
        <v>171</v>
      </c>
      <c r="AJ7" s="1686"/>
      <c r="AK7" s="1611" t="s">
        <v>2025</v>
      </c>
      <c r="AL7" s="1612" t="s">
        <v>168</v>
      </c>
      <c r="AM7" s="1612" t="s">
        <v>208</v>
      </c>
      <c r="AN7" s="1612" t="s">
        <v>209</v>
      </c>
      <c r="AO7" s="1613" t="s">
        <v>171</v>
      </c>
      <c r="AP7" s="1494" t="s">
        <v>2025</v>
      </c>
      <c r="AQ7" s="1612" t="s">
        <v>168</v>
      </c>
      <c r="AR7" s="1612" t="s">
        <v>208</v>
      </c>
      <c r="AS7" s="1612" t="s">
        <v>209</v>
      </c>
      <c r="AT7" s="1613" t="s">
        <v>171</v>
      </c>
      <c r="AU7" s="1494" t="s">
        <v>2025</v>
      </c>
      <c r="AV7" s="1612" t="s">
        <v>168</v>
      </c>
      <c r="AW7" s="1612" t="s">
        <v>208</v>
      </c>
      <c r="AX7" s="1612" t="s">
        <v>209</v>
      </c>
      <c r="AY7" s="1613" t="s">
        <v>171</v>
      </c>
    </row>
    <row r="8" spans="1:51" s="1519" customFormat="1" ht="15.75">
      <c r="A8" s="1687"/>
      <c r="B8" s="1777" t="s">
        <v>234</v>
      </c>
      <c r="C8" s="1689" t="s">
        <v>2026</v>
      </c>
      <c r="D8" s="1690" t="s">
        <v>249</v>
      </c>
      <c r="E8" s="1695">
        <f>E10+E14+E15+E16</f>
        <v>0</v>
      </c>
      <c r="F8" s="1692">
        <f>F9+F14+F15+F16</f>
        <v>0</v>
      </c>
      <c r="G8" s="1692">
        <f>G9+G14+G15+G16</f>
        <v>0</v>
      </c>
      <c r="H8" s="1692">
        <f>H9+H14+H15+H16</f>
        <v>0</v>
      </c>
      <c r="I8" s="1693">
        <f>I9+I14+I15+I16</f>
        <v>0</v>
      </c>
      <c r="J8" s="1695">
        <f>J10+J14+J15+J16</f>
        <v>0</v>
      </c>
      <c r="K8" s="1692">
        <f>K9+K14+K15+K16</f>
        <v>0</v>
      </c>
      <c r="L8" s="1692">
        <f>L9+L14+L15+L16</f>
        <v>0</v>
      </c>
      <c r="M8" s="1692">
        <f>M9+M14+M15+M16</f>
        <v>0</v>
      </c>
      <c r="N8" s="1693">
        <f>N9+N14+N15+N16</f>
        <v>0</v>
      </c>
      <c r="O8" s="1695">
        <f>O10+O14+O15+O16</f>
        <v>0</v>
      </c>
      <c r="P8" s="1692">
        <f>P9+P14+P15+P16</f>
        <v>0</v>
      </c>
      <c r="Q8" s="1692">
        <f>Q9+Q14+Q15+Q16</f>
        <v>0</v>
      </c>
      <c r="R8" s="1692">
        <f>R9+R14+R15+R16</f>
        <v>0</v>
      </c>
      <c r="S8" s="1693">
        <f>S9+S14+S15+S16</f>
        <v>0</v>
      </c>
      <c r="T8" s="1696"/>
      <c r="U8" s="1695">
        <f>U10+U14+U15+U16</f>
        <v>0</v>
      </c>
      <c r="V8" s="1692">
        <f>V9+V14+V15+V16</f>
        <v>0</v>
      </c>
      <c r="W8" s="1692">
        <f>W9+W14+W15+W16</f>
        <v>0</v>
      </c>
      <c r="X8" s="1692">
        <f>X9+X14+X15+X16</f>
        <v>0</v>
      </c>
      <c r="Y8" s="1693">
        <f>Y9+Y14+Y15+Y16</f>
        <v>0</v>
      </c>
      <c r="Z8" s="1695">
        <f>Z10+Z14+Z15+Z16</f>
        <v>0</v>
      </c>
      <c r="AA8" s="1692">
        <f>AA9+AA14+AA15+AA16</f>
        <v>0</v>
      </c>
      <c r="AB8" s="1692">
        <f>AB9+AB14+AB15+AB16</f>
        <v>0</v>
      </c>
      <c r="AC8" s="1692">
        <f>AC9+AC14+AC15+AC16</f>
        <v>0</v>
      </c>
      <c r="AD8" s="1693">
        <f>AD9+AD14+AD15+AD16</f>
        <v>0</v>
      </c>
      <c r="AE8" s="1695">
        <f>AE10+AE14+AE15+AE16</f>
        <v>0</v>
      </c>
      <c r="AF8" s="1692">
        <f>AF9+AF14+AF15+AF16</f>
        <v>0</v>
      </c>
      <c r="AG8" s="1692">
        <f>AG9+AG14+AG15+AG16</f>
        <v>0</v>
      </c>
      <c r="AH8" s="1692">
        <f>AH9+AH14+AH15+AH16</f>
        <v>0</v>
      </c>
      <c r="AI8" s="1693">
        <f>AI9+AI14+AI15+AI16</f>
        <v>0</v>
      </c>
      <c r="AJ8" s="1696"/>
      <c r="AK8" s="1695">
        <f>AK10+AK14+AK15+AK16</f>
        <v>0</v>
      </c>
      <c r="AL8" s="1692">
        <f>AL9+AL14+AL15+AL16</f>
        <v>0</v>
      </c>
      <c r="AM8" s="1692">
        <f>AM9+AM14+AM15+AM16</f>
        <v>0</v>
      </c>
      <c r="AN8" s="1692">
        <f>AN9+AN14+AN15+AN16</f>
        <v>0</v>
      </c>
      <c r="AO8" s="1693">
        <f>AO9+AO14+AO15+AO16</f>
        <v>0</v>
      </c>
      <c r="AP8" s="1695">
        <f>AP10+AP14+AP15+AP16</f>
        <v>0</v>
      </c>
      <c r="AQ8" s="1692">
        <f>AQ9+AQ14+AQ15+AQ16</f>
        <v>0</v>
      </c>
      <c r="AR8" s="1692">
        <f>AR9+AR14+AR15+AR16</f>
        <v>0</v>
      </c>
      <c r="AS8" s="1692">
        <f>AS9+AS14+AS15+AS16</f>
        <v>0</v>
      </c>
      <c r="AT8" s="1693">
        <f>AT9+AT14+AT15+AT16</f>
        <v>0</v>
      </c>
      <c r="AU8" s="1695">
        <f>AU10+AU14+AU15+AU16</f>
        <v>0</v>
      </c>
      <c r="AV8" s="1692">
        <f>AV9+AV14+AV15+AV16</f>
        <v>0</v>
      </c>
      <c r="AW8" s="1692">
        <f>AW9+AW14+AW15+AW16</f>
        <v>0</v>
      </c>
      <c r="AX8" s="1692">
        <f>AX9+AX14+AX15+AX16</f>
        <v>0</v>
      </c>
      <c r="AY8" s="1693">
        <f>AY9+AY14+AY15+AY16</f>
        <v>0</v>
      </c>
    </row>
    <row r="9" spans="1:51">
      <c r="A9" s="1685"/>
      <c r="B9" s="1525" t="s">
        <v>267</v>
      </c>
      <c r="C9" s="1526" t="s">
        <v>2027</v>
      </c>
      <c r="D9" s="1589" t="s">
        <v>249</v>
      </c>
      <c r="E9" s="1701">
        <f>SUM(F9:I9)</f>
        <v>0</v>
      </c>
      <c r="F9" s="1699">
        <f>SUM(F10:F13)</f>
        <v>0</v>
      </c>
      <c r="G9" s="1699">
        <f t="shared" ref="G9:I9" si="0">SUM(G10:G13)</f>
        <v>0</v>
      </c>
      <c r="H9" s="1699">
        <f t="shared" si="0"/>
        <v>0</v>
      </c>
      <c r="I9" s="1700">
        <f t="shared" si="0"/>
        <v>0</v>
      </c>
      <c r="J9" s="1701">
        <f>SUM(K9:N9)</f>
        <v>0</v>
      </c>
      <c r="K9" s="1699">
        <f>SUM(K10:K13)</f>
        <v>0</v>
      </c>
      <c r="L9" s="1699">
        <f t="shared" ref="L9:N9" si="1">SUM(L10:L13)</f>
        <v>0</v>
      </c>
      <c r="M9" s="1699">
        <f t="shared" si="1"/>
        <v>0</v>
      </c>
      <c r="N9" s="1700">
        <f t="shared" si="1"/>
        <v>0</v>
      </c>
      <c r="O9" s="1701">
        <f>SUM(P9:S9)</f>
        <v>0</v>
      </c>
      <c r="P9" s="1699">
        <f>SUM(P10:P13)</f>
        <v>0</v>
      </c>
      <c r="Q9" s="1699">
        <f t="shared" ref="Q9:S9" si="2">SUM(Q10:Q13)</f>
        <v>0</v>
      </c>
      <c r="R9" s="1699">
        <f t="shared" si="2"/>
        <v>0</v>
      </c>
      <c r="S9" s="1700">
        <f t="shared" si="2"/>
        <v>0</v>
      </c>
      <c r="T9" s="1686"/>
      <c r="U9" s="1701">
        <f>SUM(V9:Y9)</f>
        <v>0</v>
      </c>
      <c r="V9" s="1699">
        <f>SUM(V10:V13)</f>
        <v>0</v>
      </c>
      <c r="W9" s="1699">
        <f t="shared" ref="W9:Y9" si="3">SUM(W10:W13)</f>
        <v>0</v>
      </c>
      <c r="X9" s="1699">
        <f t="shared" si="3"/>
        <v>0</v>
      </c>
      <c r="Y9" s="1700">
        <f t="shared" si="3"/>
        <v>0</v>
      </c>
      <c r="Z9" s="1701">
        <f>SUM(AA9:AD9)</f>
        <v>0</v>
      </c>
      <c r="AA9" s="1699">
        <f>SUM(AA10:AA13)</f>
        <v>0</v>
      </c>
      <c r="AB9" s="1699">
        <f t="shared" ref="AB9:AD9" si="4">SUM(AB10:AB13)</f>
        <v>0</v>
      </c>
      <c r="AC9" s="1699">
        <f t="shared" si="4"/>
        <v>0</v>
      </c>
      <c r="AD9" s="1700">
        <f t="shared" si="4"/>
        <v>0</v>
      </c>
      <c r="AE9" s="1701">
        <f>SUM(AF9:AI9)</f>
        <v>0</v>
      </c>
      <c r="AF9" s="1699">
        <f>SUM(AF10:AF13)</f>
        <v>0</v>
      </c>
      <c r="AG9" s="1699">
        <f t="shared" ref="AG9:AI9" si="5">SUM(AG10:AG13)</f>
        <v>0</v>
      </c>
      <c r="AH9" s="1699">
        <f t="shared" si="5"/>
        <v>0</v>
      </c>
      <c r="AI9" s="1700">
        <f t="shared" si="5"/>
        <v>0</v>
      </c>
      <c r="AJ9" s="1686"/>
      <c r="AK9" s="1701">
        <f>SUM(AL9:AO9)</f>
        <v>0</v>
      </c>
      <c r="AL9" s="1699">
        <f>SUM(AL10:AL13)</f>
        <v>0</v>
      </c>
      <c r="AM9" s="1699">
        <f t="shared" ref="AM9:AO9" si="6">SUM(AM10:AM13)</f>
        <v>0</v>
      </c>
      <c r="AN9" s="1699">
        <f t="shared" si="6"/>
        <v>0</v>
      </c>
      <c r="AO9" s="1700">
        <f t="shared" si="6"/>
        <v>0</v>
      </c>
      <c r="AP9" s="1701">
        <f>SUM(AQ9:AT9)</f>
        <v>0</v>
      </c>
      <c r="AQ9" s="1699">
        <f>SUM(AQ10:AQ13)</f>
        <v>0</v>
      </c>
      <c r="AR9" s="1699">
        <f t="shared" ref="AR9:AT9" si="7">SUM(AR10:AR13)</f>
        <v>0</v>
      </c>
      <c r="AS9" s="1699">
        <f t="shared" si="7"/>
        <v>0</v>
      </c>
      <c r="AT9" s="1700">
        <f t="shared" si="7"/>
        <v>0</v>
      </c>
      <c r="AU9" s="1701">
        <f>SUM(AV9:AY9)</f>
        <v>0</v>
      </c>
      <c r="AV9" s="1699">
        <f>SUM(AV10:AV13)</f>
        <v>0</v>
      </c>
      <c r="AW9" s="1699">
        <f t="shared" ref="AW9:AY9" si="8">SUM(AW10:AW13)</f>
        <v>0</v>
      </c>
      <c r="AX9" s="1699">
        <f t="shared" si="8"/>
        <v>0</v>
      </c>
      <c r="AY9" s="1700">
        <f t="shared" si="8"/>
        <v>0</v>
      </c>
    </row>
    <row r="10" spans="1:51">
      <c r="A10" s="1685"/>
      <c r="B10" s="1525" t="s">
        <v>319</v>
      </c>
      <c r="C10" s="1702" t="s">
        <v>2028</v>
      </c>
      <c r="D10" s="1589" t="s">
        <v>249</v>
      </c>
      <c r="E10" s="1701">
        <f>SUM(F10:I10)</f>
        <v>0</v>
      </c>
      <c r="F10" s="1531"/>
      <c r="G10" s="1531"/>
      <c r="H10" s="1531"/>
      <c r="I10" s="1703"/>
      <c r="J10" s="1701">
        <f>SUM(K10:N10)</f>
        <v>0</v>
      </c>
      <c r="K10" s="1531"/>
      <c r="L10" s="1531"/>
      <c r="M10" s="1531"/>
      <c r="N10" s="1703"/>
      <c r="O10" s="1701">
        <f>SUM(P10:S10)</f>
        <v>0</v>
      </c>
      <c r="P10" s="1699">
        <f>SUM(F10,K10)</f>
        <v>0</v>
      </c>
      <c r="Q10" s="1699">
        <f t="shared" ref="Q10:S10" si="9">SUM(G10,L10)</f>
        <v>0</v>
      </c>
      <c r="R10" s="1699">
        <f t="shared" si="9"/>
        <v>0</v>
      </c>
      <c r="S10" s="1700">
        <f t="shared" si="9"/>
        <v>0</v>
      </c>
      <c r="T10" s="1686"/>
      <c r="U10" s="1701">
        <f>SUM(V10:Y10)</f>
        <v>0</v>
      </c>
      <c r="V10" s="1531"/>
      <c r="W10" s="1531"/>
      <c r="X10" s="1531"/>
      <c r="Y10" s="1703"/>
      <c r="Z10" s="1701">
        <f>SUM(AA10:AD10)</f>
        <v>0</v>
      </c>
      <c r="AA10" s="1531"/>
      <c r="AB10" s="1531"/>
      <c r="AC10" s="1531"/>
      <c r="AD10" s="1703"/>
      <c r="AE10" s="1701">
        <f>SUM(AF10:AI10)</f>
        <v>0</v>
      </c>
      <c r="AF10" s="1699">
        <f>SUM(V10,AA10)</f>
        <v>0</v>
      </c>
      <c r="AG10" s="1699">
        <f t="shared" ref="AG10" si="10">SUM(W10,AB10)</f>
        <v>0</v>
      </c>
      <c r="AH10" s="1699">
        <f t="shared" ref="AH10" si="11">SUM(X10,AC10)</f>
        <v>0</v>
      </c>
      <c r="AI10" s="1700">
        <f t="shared" ref="AI10" si="12">SUM(Y10,AD10)</f>
        <v>0</v>
      </c>
      <c r="AJ10" s="1686"/>
      <c r="AK10" s="1701">
        <f>SUM(AL10:AO10)</f>
        <v>0</v>
      </c>
      <c r="AL10" s="1531"/>
      <c r="AM10" s="1531"/>
      <c r="AN10" s="1531"/>
      <c r="AO10" s="1703"/>
      <c r="AP10" s="1701">
        <f>SUM(AQ10:AT10)</f>
        <v>0</v>
      </c>
      <c r="AQ10" s="1531"/>
      <c r="AR10" s="1531"/>
      <c r="AS10" s="1531"/>
      <c r="AT10" s="1703"/>
      <c r="AU10" s="1701">
        <f>SUM(AV10:AY10)</f>
        <v>0</v>
      </c>
      <c r="AV10" s="1699">
        <f>SUM(AL10,AQ10)</f>
        <v>0</v>
      </c>
      <c r="AW10" s="1699">
        <f t="shared" ref="AW10" si="13">SUM(AM10,AR10)</f>
        <v>0</v>
      </c>
      <c r="AX10" s="1699">
        <f t="shared" ref="AX10" si="14">SUM(AN10,AS10)</f>
        <v>0</v>
      </c>
      <c r="AY10" s="1700">
        <f t="shared" ref="AY10" si="15">SUM(AO10,AT10)</f>
        <v>0</v>
      </c>
    </row>
    <row r="11" spans="1:51">
      <c r="A11" s="1685"/>
      <c r="B11" s="1525" t="s">
        <v>321</v>
      </c>
      <c r="C11" s="1702" t="s">
        <v>168</v>
      </c>
      <c r="D11" s="1589" t="s">
        <v>249</v>
      </c>
      <c r="E11" s="1697"/>
      <c r="F11" s="1529"/>
      <c r="G11" s="1706">
        <f>G17+G19+G20+H12+I12-G10-G14-G15-G16</f>
        <v>0</v>
      </c>
      <c r="H11" s="1706">
        <f>H17+H19+H20+I13-H12-H14-H15-H16-H10</f>
        <v>0</v>
      </c>
      <c r="I11" s="1528"/>
      <c r="J11" s="1697"/>
      <c r="K11" s="1529"/>
      <c r="L11" s="1706">
        <f>L17+L19+L20+M12+N12-L10-L14-L15-L16</f>
        <v>0</v>
      </c>
      <c r="M11" s="1706">
        <f>M17+M19+M20+N13-M12-M14-M15-M16-M10</f>
        <v>0</v>
      </c>
      <c r="N11" s="1528"/>
      <c r="O11" s="1697"/>
      <c r="P11" s="1529"/>
      <c r="Q11" s="1699">
        <f>Q17+Q19+Q20+R12+S12-Q10-Q14-Q15-Q16</f>
        <v>0</v>
      </c>
      <c r="R11" s="1699">
        <f>R17+R19+R20+S13-R12-R14-R15-R16-R10</f>
        <v>0</v>
      </c>
      <c r="S11" s="1528"/>
      <c r="T11" s="1686"/>
      <c r="U11" s="1697"/>
      <c r="V11" s="1529"/>
      <c r="W11" s="1706">
        <f>W17+W19+W20+X12+Y12-W10-W14-W15-W16</f>
        <v>0</v>
      </c>
      <c r="X11" s="1706">
        <f>X17+X19+X20+Y13-X12-X14-X15-X16-X10</f>
        <v>0</v>
      </c>
      <c r="Y11" s="1528"/>
      <c r="Z11" s="1697"/>
      <c r="AA11" s="1529"/>
      <c r="AB11" s="1706">
        <f>AB17+AB19+AB20+AC12+AD12-AB10-AB14-AB15-AB16</f>
        <v>0</v>
      </c>
      <c r="AC11" s="1706">
        <f>AC17+AC19+AC20+AD13-AC12-AC14-AC15-AC16-AC10</f>
        <v>0</v>
      </c>
      <c r="AD11" s="1528"/>
      <c r="AE11" s="1697"/>
      <c r="AF11" s="1529"/>
      <c r="AG11" s="1699">
        <f>AG17+AG19+AG20+AH12+AI12-AG10-AG14-AG15-AG16</f>
        <v>0</v>
      </c>
      <c r="AH11" s="1699">
        <f>AH17+AH19+AH20+AI13-AH12-AH14-AH15-AH16-AH10</f>
        <v>0</v>
      </c>
      <c r="AI11" s="1528"/>
      <c r="AJ11" s="1686"/>
      <c r="AK11" s="1697"/>
      <c r="AL11" s="1529"/>
      <c r="AM11" s="1706">
        <f>AM17+AM19+AM20+AN12+AO12-AM10-AM14-AM15-AM16</f>
        <v>0</v>
      </c>
      <c r="AN11" s="1706">
        <f>AN17+AN19+AN20+AO13-AN12-AN14-AN15-AN16-AN10</f>
        <v>0</v>
      </c>
      <c r="AO11" s="1528"/>
      <c r="AP11" s="1697"/>
      <c r="AQ11" s="1529"/>
      <c r="AR11" s="1706">
        <f>AR17+AR19+AR20+AS12+AT12-AR10-AR14-AR15-AR16</f>
        <v>0</v>
      </c>
      <c r="AS11" s="1706">
        <f>AS17+AS19+AS20+AT13-AS12-AS14-AS15-AS16-AS10</f>
        <v>0</v>
      </c>
      <c r="AT11" s="1528"/>
      <c r="AU11" s="1697"/>
      <c r="AV11" s="1529"/>
      <c r="AW11" s="1699">
        <f>AW17+AW19+AW20+AX12+AY12-AW10-AW14-AW15-AW16</f>
        <v>0</v>
      </c>
      <c r="AX11" s="1699">
        <f>AX17+AX19+AX20+AY13-AX12-AX14-AX15-AX16-AX10</f>
        <v>0</v>
      </c>
      <c r="AY11" s="1528"/>
    </row>
    <row r="12" spans="1:51">
      <c r="A12" s="1685"/>
      <c r="B12" s="1525" t="s">
        <v>1122</v>
      </c>
      <c r="C12" s="1702" t="s">
        <v>208</v>
      </c>
      <c r="D12" s="1589" t="s">
        <v>249</v>
      </c>
      <c r="E12" s="1697"/>
      <c r="F12" s="1529"/>
      <c r="G12" s="1529"/>
      <c r="H12" s="1531"/>
      <c r="I12" s="1703"/>
      <c r="J12" s="1697"/>
      <c r="K12" s="1529"/>
      <c r="L12" s="1529"/>
      <c r="M12" s="1531"/>
      <c r="N12" s="1703"/>
      <c r="O12" s="1697"/>
      <c r="P12" s="1529"/>
      <c r="Q12" s="1529"/>
      <c r="R12" s="1699">
        <f t="shared" ref="R12:S12" si="16">SUM(H12,M12)</f>
        <v>0</v>
      </c>
      <c r="S12" s="1700">
        <f t="shared" si="16"/>
        <v>0</v>
      </c>
      <c r="T12" s="1686"/>
      <c r="U12" s="1697"/>
      <c r="V12" s="1529"/>
      <c r="W12" s="1529"/>
      <c r="X12" s="1531"/>
      <c r="Y12" s="1703"/>
      <c r="Z12" s="1697"/>
      <c r="AA12" s="1529"/>
      <c r="AB12" s="1529"/>
      <c r="AC12" s="1531"/>
      <c r="AD12" s="1703"/>
      <c r="AE12" s="1697"/>
      <c r="AF12" s="1529"/>
      <c r="AG12" s="1529"/>
      <c r="AH12" s="1699">
        <f t="shared" ref="AH12" si="17">SUM(X12,AC12)</f>
        <v>0</v>
      </c>
      <c r="AI12" s="1700">
        <f t="shared" ref="AI12" si="18">SUM(Y12,AD12)</f>
        <v>0</v>
      </c>
      <c r="AJ12" s="1686"/>
      <c r="AK12" s="1697"/>
      <c r="AL12" s="1529"/>
      <c r="AM12" s="1529"/>
      <c r="AN12" s="1531"/>
      <c r="AO12" s="1703"/>
      <c r="AP12" s="1697"/>
      <c r="AQ12" s="1529"/>
      <c r="AR12" s="1529"/>
      <c r="AS12" s="1531"/>
      <c r="AT12" s="1703"/>
      <c r="AU12" s="1697"/>
      <c r="AV12" s="1529"/>
      <c r="AW12" s="1529"/>
      <c r="AX12" s="1699">
        <f t="shared" ref="AX12" si="19">SUM(AN12,AS12)</f>
        <v>0</v>
      </c>
      <c r="AY12" s="1700">
        <f t="shared" ref="AY12" si="20">SUM(AO12,AT12)</f>
        <v>0</v>
      </c>
    </row>
    <row r="13" spans="1:51">
      <c r="A13" s="1685"/>
      <c r="B13" s="1525" t="s">
        <v>2029</v>
      </c>
      <c r="C13" s="1702" t="s">
        <v>209</v>
      </c>
      <c r="D13" s="1589" t="s">
        <v>249</v>
      </c>
      <c r="E13" s="1697"/>
      <c r="F13" s="1529"/>
      <c r="G13" s="1529"/>
      <c r="H13" s="1529"/>
      <c r="I13" s="1710">
        <f>I17+I19+I20-I12-I10-I16-I15-I14</f>
        <v>0</v>
      </c>
      <c r="J13" s="1697"/>
      <c r="K13" s="1529"/>
      <c r="L13" s="1529"/>
      <c r="M13" s="1529"/>
      <c r="N13" s="1710">
        <f>N17+N19+N20-N12-N10-N16-N15-N14</f>
        <v>0</v>
      </c>
      <c r="O13" s="1697"/>
      <c r="P13" s="1529"/>
      <c r="Q13" s="1529"/>
      <c r="R13" s="1529"/>
      <c r="S13" s="1700">
        <f>S17+S19+S20-S12-S10-S16-S15-S14</f>
        <v>0</v>
      </c>
      <c r="T13" s="1686"/>
      <c r="U13" s="1697"/>
      <c r="V13" s="1529"/>
      <c r="W13" s="1529"/>
      <c r="X13" s="1529"/>
      <c r="Y13" s="1710">
        <f>Y17+Y19+Y20-Y12-Y10-Y16-Y15-Y14</f>
        <v>0</v>
      </c>
      <c r="Z13" s="1697"/>
      <c r="AA13" s="1529"/>
      <c r="AB13" s="1529"/>
      <c r="AC13" s="1529"/>
      <c r="AD13" s="1710">
        <f>AD17+AD19+AD20-AD12-AD10-AD16-AD15-AD14</f>
        <v>0</v>
      </c>
      <c r="AE13" s="1697"/>
      <c r="AF13" s="1529"/>
      <c r="AG13" s="1529"/>
      <c r="AH13" s="1529"/>
      <c r="AI13" s="1700">
        <f>AI17+AI19+AI20-AI12-AI10-AI16-AI15-AI14</f>
        <v>0</v>
      </c>
      <c r="AJ13" s="1686"/>
      <c r="AK13" s="1697"/>
      <c r="AL13" s="1529"/>
      <c r="AM13" s="1529"/>
      <c r="AN13" s="1529"/>
      <c r="AO13" s="1710">
        <f>AO17+AO19+AO20-AO12-AO10-AO16-AO15-AO14</f>
        <v>0</v>
      </c>
      <c r="AP13" s="1697"/>
      <c r="AQ13" s="1529"/>
      <c r="AR13" s="1529"/>
      <c r="AS13" s="1529"/>
      <c r="AT13" s="1710">
        <f>AT17+AT19+AT20-AT12-AT10-AT16-AT15-AT14</f>
        <v>0</v>
      </c>
      <c r="AU13" s="1697"/>
      <c r="AV13" s="1529"/>
      <c r="AW13" s="1529"/>
      <c r="AX13" s="1529"/>
      <c r="AY13" s="1700">
        <f>AY17+AY19+AY20-AY12-AY10-AY16-AY15-AY14</f>
        <v>0</v>
      </c>
    </row>
    <row r="14" spans="1:51">
      <c r="A14" s="1685"/>
      <c r="B14" s="1525" t="s">
        <v>269</v>
      </c>
      <c r="C14" s="1526" t="s">
        <v>2030</v>
      </c>
      <c r="D14" s="1589" t="s">
        <v>249</v>
      </c>
      <c r="E14" s="1701">
        <f t="shared" ref="E14:E23" si="21">SUM(F14:I14)</f>
        <v>0</v>
      </c>
      <c r="F14" s="1531"/>
      <c r="G14" s="1531"/>
      <c r="H14" s="1531"/>
      <c r="I14" s="1703"/>
      <c r="J14" s="1701">
        <f t="shared" ref="J14:J17" si="22">SUM(K14:N14)</f>
        <v>0</v>
      </c>
      <c r="K14" s="1531"/>
      <c r="L14" s="1531"/>
      <c r="M14" s="1531"/>
      <c r="N14" s="1703"/>
      <c r="O14" s="1701">
        <f t="shared" ref="O14:O17" si="23">SUM(P14:S14)</f>
        <v>0</v>
      </c>
      <c r="P14" s="1699">
        <f t="shared" ref="P14:S17" si="24">SUM(F14,K14)</f>
        <v>0</v>
      </c>
      <c r="Q14" s="1699">
        <f t="shared" si="24"/>
        <v>0</v>
      </c>
      <c r="R14" s="1699">
        <f t="shared" si="24"/>
        <v>0</v>
      </c>
      <c r="S14" s="1700">
        <f t="shared" si="24"/>
        <v>0</v>
      </c>
      <c r="T14" s="1686"/>
      <c r="U14" s="1701">
        <f t="shared" ref="U14:U17" si="25">SUM(V14:Y14)</f>
        <v>0</v>
      </c>
      <c r="V14" s="1531"/>
      <c r="W14" s="1531"/>
      <c r="X14" s="1531"/>
      <c r="Y14" s="1703"/>
      <c r="Z14" s="1701">
        <f t="shared" ref="Z14:Z17" si="26">SUM(AA14:AD14)</f>
        <v>0</v>
      </c>
      <c r="AA14" s="1531"/>
      <c r="AB14" s="1531"/>
      <c r="AC14" s="1531"/>
      <c r="AD14" s="1703"/>
      <c r="AE14" s="1701">
        <f t="shared" ref="AE14:AE17" si="27">SUM(AF14:AI14)</f>
        <v>0</v>
      </c>
      <c r="AF14" s="1699">
        <f t="shared" ref="AF14:AF15" si="28">SUM(V14,AA14)</f>
        <v>0</v>
      </c>
      <c r="AG14" s="1699">
        <f t="shared" ref="AG14:AG17" si="29">SUM(W14,AB14)</f>
        <v>0</v>
      </c>
      <c r="AH14" s="1699">
        <f t="shared" ref="AH14:AH17" si="30">SUM(X14,AC14)</f>
        <v>0</v>
      </c>
      <c r="AI14" s="1700">
        <f t="shared" ref="AI14:AI17" si="31">SUM(Y14,AD14)</f>
        <v>0</v>
      </c>
      <c r="AJ14" s="1686"/>
      <c r="AK14" s="1701">
        <f t="shared" ref="AK14:AK17" si="32">SUM(AL14:AO14)</f>
        <v>0</v>
      </c>
      <c r="AL14" s="1531"/>
      <c r="AM14" s="1531"/>
      <c r="AN14" s="1531"/>
      <c r="AO14" s="1703"/>
      <c r="AP14" s="1701">
        <f t="shared" ref="AP14:AP17" si="33">SUM(AQ14:AT14)</f>
        <v>0</v>
      </c>
      <c r="AQ14" s="1531"/>
      <c r="AR14" s="1531"/>
      <c r="AS14" s="1531"/>
      <c r="AT14" s="1703"/>
      <c r="AU14" s="1701">
        <f t="shared" ref="AU14:AU17" si="34">SUM(AV14:AY14)</f>
        <v>0</v>
      </c>
      <c r="AV14" s="1699">
        <f t="shared" ref="AV14:AV15" si="35">SUM(AL14,AQ14)</f>
        <v>0</v>
      </c>
      <c r="AW14" s="1699">
        <f t="shared" ref="AW14:AW17" si="36">SUM(AM14,AR14)</f>
        <v>0</v>
      </c>
      <c r="AX14" s="1699">
        <f t="shared" ref="AX14:AX17" si="37">SUM(AN14,AS14)</f>
        <v>0</v>
      </c>
      <c r="AY14" s="1700">
        <f t="shared" ref="AY14:AY17" si="38">SUM(AO14,AT14)</f>
        <v>0</v>
      </c>
    </row>
    <row r="15" spans="1:51">
      <c r="A15" s="1685"/>
      <c r="B15" s="1525" t="s">
        <v>270</v>
      </c>
      <c r="C15" s="1526" t="s">
        <v>2031</v>
      </c>
      <c r="D15" s="1589" t="s">
        <v>249</v>
      </c>
      <c r="E15" s="1701">
        <f t="shared" si="21"/>
        <v>0</v>
      </c>
      <c r="F15" s="1531"/>
      <c r="G15" s="1531"/>
      <c r="H15" s="1531"/>
      <c r="I15" s="1703"/>
      <c r="J15" s="1701">
        <f t="shared" si="22"/>
        <v>0</v>
      </c>
      <c r="K15" s="1531"/>
      <c r="L15" s="1531"/>
      <c r="M15" s="1531"/>
      <c r="N15" s="1703"/>
      <c r="O15" s="1701">
        <f t="shared" si="23"/>
        <v>0</v>
      </c>
      <c r="P15" s="1699">
        <f t="shared" si="24"/>
        <v>0</v>
      </c>
      <c r="Q15" s="1699">
        <f t="shared" si="24"/>
        <v>0</v>
      </c>
      <c r="R15" s="1699">
        <f t="shared" si="24"/>
        <v>0</v>
      </c>
      <c r="S15" s="1700">
        <f t="shared" si="24"/>
        <v>0</v>
      </c>
      <c r="T15" s="1686"/>
      <c r="U15" s="1701">
        <f t="shared" si="25"/>
        <v>0</v>
      </c>
      <c r="V15" s="1531"/>
      <c r="W15" s="1531"/>
      <c r="X15" s="1531"/>
      <c r="Y15" s="1703"/>
      <c r="Z15" s="1701">
        <f t="shared" si="26"/>
        <v>0</v>
      </c>
      <c r="AA15" s="1531"/>
      <c r="AB15" s="1531"/>
      <c r="AC15" s="1531"/>
      <c r="AD15" s="1703"/>
      <c r="AE15" s="1701">
        <f t="shared" si="27"/>
        <v>0</v>
      </c>
      <c r="AF15" s="1699">
        <f t="shared" si="28"/>
        <v>0</v>
      </c>
      <c r="AG15" s="1699">
        <f t="shared" si="29"/>
        <v>0</v>
      </c>
      <c r="AH15" s="1699">
        <f t="shared" si="30"/>
        <v>0</v>
      </c>
      <c r="AI15" s="1700">
        <f t="shared" si="31"/>
        <v>0</v>
      </c>
      <c r="AJ15" s="1686"/>
      <c r="AK15" s="1701">
        <f t="shared" si="32"/>
        <v>0</v>
      </c>
      <c r="AL15" s="1531"/>
      <c r="AM15" s="1531"/>
      <c r="AN15" s="1531"/>
      <c r="AO15" s="1703"/>
      <c r="AP15" s="1701">
        <f t="shared" si="33"/>
        <v>0</v>
      </c>
      <c r="AQ15" s="1531"/>
      <c r="AR15" s="1531"/>
      <c r="AS15" s="1531"/>
      <c r="AT15" s="1703"/>
      <c r="AU15" s="1701">
        <f t="shared" si="34"/>
        <v>0</v>
      </c>
      <c r="AV15" s="1699">
        <f t="shared" si="35"/>
        <v>0</v>
      </c>
      <c r="AW15" s="1699">
        <f t="shared" si="36"/>
        <v>0</v>
      </c>
      <c r="AX15" s="1699">
        <f t="shared" si="37"/>
        <v>0</v>
      </c>
      <c r="AY15" s="1700">
        <f t="shared" si="38"/>
        <v>0</v>
      </c>
    </row>
    <row r="16" spans="1:51">
      <c r="A16" s="1685"/>
      <c r="B16" s="1525" t="s">
        <v>286</v>
      </c>
      <c r="C16" s="1526" t="s">
        <v>2032</v>
      </c>
      <c r="D16" s="1589" t="s">
        <v>249</v>
      </c>
      <c r="E16" s="1701">
        <f t="shared" si="21"/>
        <v>0</v>
      </c>
      <c r="F16" s="1706">
        <f>E17+E19+E20-E14-E15-G16-H16-I16</f>
        <v>0</v>
      </c>
      <c r="G16" s="1531"/>
      <c r="H16" s="1531"/>
      <c r="I16" s="1703"/>
      <c r="J16" s="1701">
        <f t="shared" si="22"/>
        <v>0</v>
      </c>
      <c r="K16" s="1706">
        <f>J17+J19+J20-J14-J15-L16-M16-N16</f>
        <v>0</v>
      </c>
      <c r="L16" s="1531"/>
      <c r="M16" s="1531"/>
      <c r="N16" s="1703"/>
      <c r="O16" s="1701">
        <f t="shared" si="23"/>
        <v>0</v>
      </c>
      <c r="P16" s="1699">
        <f>O17+O19+O20-O14-O15-Q16-R16-S16</f>
        <v>0</v>
      </c>
      <c r="Q16" s="1699">
        <f t="shared" si="24"/>
        <v>0</v>
      </c>
      <c r="R16" s="1699">
        <f t="shared" si="24"/>
        <v>0</v>
      </c>
      <c r="S16" s="1700">
        <f t="shared" si="24"/>
        <v>0</v>
      </c>
      <c r="T16" s="1686"/>
      <c r="U16" s="1701">
        <f t="shared" si="25"/>
        <v>0</v>
      </c>
      <c r="V16" s="1706">
        <f>U17+U19+U20-U14-U15-W16-X16-Y16</f>
        <v>0</v>
      </c>
      <c r="W16" s="1531"/>
      <c r="X16" s="1531"/>
      <c r="Y16" s="1703"/>
      <c r="Z16" s="1701">
        <f t="shared" si="26"/>
        <v>0</v>
      </c>
      <c r="AA16" s="1706">
        <f>Z17+Z19+Z20-Z14-Z15-AB16-AC16-AD16</f>
        <v>0</v>
      </c>
      <c r="AB16" s="1531"/>
      <c r="AC16" s="1531"/>
      <c r="AD16" s="1703"/>
      <c r="AE16" s="1701">
        <f t="shared" si="27"/>
        <v>0</v>
      </c>
      <c r="AF16" s="1699">
        <f>AE17+AE19+AE20-AE14-AE15-AG16-AH16-AI16</f>
        <v>0</v>
      </c>
      <c r="AG16" s="1699">
        <f t="shared" si="29"/>
        <v>0</v>
      </c>
      <c r="AH16" s="1699">
        <f t="shared" si="30"/>
        <v>0</v>
      </c>
      <c r="AI16" s="1700">
        <f t="shared" si="31"/>
        <v>0</v>
      </c>
      <c r="AJ16" s="1686"/>
      <c r="AK16" s="1701">
        <f t="shared" si="32"/>
        <v>0</v>
      </c>
      <c r="AL16" s="1706">
        <f>AK17+AK19+AK20-AK14-AK15-AM16-AN16-AO16</f>
        <v>0</v>
      </c>
      <c r="AM16" s="1531"/>
      <c r="AN16" s="1531"/>
      <c r="AO16" s="1703"/>
      <c r="AP16" s="1701">
        <f t="shared" si="33"/>
        <v>0</v>
      </c>
      <c r="AQ16" s="1706">
        <f>AP17+AP19+AP20-AP14-AP15-AR16-AS16-AT16</f>
        <v>0</v>
      </c>
      <c r="AR16" s="1531"/>
      <c r="AS16" s="1531"/>
      <c r="AT16" s="1703"/>
      <c r="AU16" s="1701">
        <f t="shared" si="34"/>
        <v>0</v>
      </c>
      <c r="AV16" s="1699">
        <f>AU17+AU19+AU20-AU14-AU15-AW16-AX16-AY16</f>
        <v>0</v>
      </c>
      <c r="AW16" s="1699">
        <f t="shared" si="36"/>
        <v>0</v>
      </c>
      <c r="AX16" s="1699">
        <f t="shared" si="37"/>
        <v>0</v>
      </c>
      <c r="AY16" s="1700">
        <f t="shared" si="38"/>
        <v>0</v>
      </c>
    </row>
    <row r="17" spans="1:51" s="1519" customFormat="1" ht="15.75">
      <c r="A17" s="1687"/>
      <c r="B17" s="1520" t="s">
        <v>237</v>
      </c>
      <c r="C17" s="1521" t="s">
        <v>2033</v>
      </c>
      <c r="D17" s="1711" t="s">
        <v>249</v>
      </c>
      <c r="E17" s="1713">
        <f t="shared" si="21"/>
        <v>0</v>
      </c>
      <c r="F17" s="1708"/>
      <c r="G17" s="1708"/>
      <c r="H17" s="1708"/>
      <c r="I17" s="1709"/>
      <c r="J17" s="1713">
        <f t="shared" si="22"/>
        <v>0</v>
      </c>
      <c r="K17" s="1708"/>
      <c r="L17" s="1708"/>
      <c r="M17" s="1708"/>
      <c r="N17" s="1709"/>
      <c r="O17" s="1713">
        <f t="shared" si="23"/>
        <v>0</v>
      </c>
      <c r="P17" s="1699">
        <f t="shared" ref="P17" si="39">SUM(F17,K17)</f>
        <v>0</v>
      </c>
      <c r="Q17" s="1699">
        <f t="shared" si="24"/>
        <v>0</v>
      </c>
      <c r="R17" s="1699">
        <f t="shared" si="24"/>
        <v>0</v>
      </c>
      <c r="S17" s="1700">
        <f t="shared" si="24"/>
        <v>0</v>
      </c>
      <c r="T17" s="1696"/>
      <c r="U17" s="1713">
        <f t="shared" si="25"/>
        <v>0</v>
      </c>
      <c r="V17" s="1708"/>
      <c r="W17" s="1708"/>
      <c r="X17" s="1708"/>
      <c r="Y17" s="1709"/>
      <c r="Z17" s="1713">
        <f t="shared" si="26"/>
        <v>0</v>
      </c>
      <c r="AA17" s="1708"/>
      <c r="AB17" s="1708"/>
      <c r="AC17" s="1708"/>
      <c r="AD17" s="1709"/>
      <c r="AE17" s="1713">
        <f t="shared" si="27"/>
        <v>0</v>
      </c>
      <c r="AF17" s="1699">
        <f t="shared" ref="AF17" si="40">SUM(V17,AA17)</f>
        <v>0</v>
      </c>
      <c r="AG17" s="1699">
        <f t="shared" si="29"/>
        <v>0</v>
      </c>
      <c r="AH17" s="1699">
        <f t="shared" si="30"/>
        <v>0</v>
      </c>
      <c r="AI17" s="1700">
        <f t="shared" si="31"/>
        <v>0</v>
      </c>
      <c r="AJ17" s="1696"/>
      <c r="AK17" s="1713">
        <f t="shared" si="32"/>
        <v>0</v>
      </c>
      <c r="AL17" s="1708"/>
      <c r="AM17" s="1708"/>
      <c r="AN17" s="1708"/>
      <c r="AO17" s="1709"/>
      <c r="AP17" s="1713">
        <f t="shared" si="33"/>
        <v>0</v>
      </c>
      <c r="AQ17" s="1708"/>
      <c r="AR17" s="1708"/>
      <c r="AS17" s="1708"/>
      <c r="AT17" s="1709"/>
      <c r="AU17" s="1713">
        <f t="shared" si="34"/>
        <v>0</v>
      </c>
      <c r="AV17" s="1699">
        <f t="shared" ref="AV17" si="41">SUM(AL17,AQ17)</f>
        <v>0</v>
      </c>
      <c r="AW17" s="1699">
        <f t="shared" si="36"/>
        <v>0</v>
      </c>
      <c r="AX17" s="1699">
        <f t="shared" si="37"/>
        <v>0</v>
      </c>
      <c r="AY17" s="1700">
        <f t="shared" si="38"/>
        <v>0</v>
      </c>
    </row>
    <row r="18" spans="1:51" s="1519" customFormat="1" ht="15.75">
      <c r="A18" s="1687"/>
      <c r="B18" s="1520" t="s">
        <v>520</v>
      </c>
      <c r="C18" s="1521" t="s">
        <v>2034</v>
      </c>
      <c r="D18" s="1711" t="s">
        <v>268</v>
      </c>
      <c r="E18" s="1713">
        <f>IF(E8=0,0,E17/E8*100)</f>
        <v>0</v>
      </c>
      <c r="F18" s="1713">
        <f>IF(F8=0,0,F17/F8*100)</f>
        <v>0</v>
      </c>
      <c r="G18" s="1713">
        <f t="shared" ref="G18:S18" si="42">IF(G8=0,0,G17/G8*100)</f>
        <v>0</v>
      </c>
      <c r="H18" s="1713">
        <f t="shared" si="42"/>
        <v>0</v>
      </c>
      <c r="I18" s="1715">
        <f t="shared" si="42"/>
        <v>0</v>
      </c>
      <c r="J18" s="1713">
        <f t="shared" si="42"/>
        <v>0</v>
      </c>
      <c r="K18" s="1713">
        <f t="shared" si="42"/>
        <v>0</v>
      </c>
      <c r="L18" s="1713">
        <f t="shared" si="42"/>
        <v>0</v>
      </c>
      <c r="M18" s="1713">
        <f t="shared" si="42"/>
        <v>0</v>
      </c>
      <c r="N18" s="1715">
        <f t="shared" si="42"/>
        <v>0</v>
      </c>
      <c r="O18" s="1713">
        <f t="shared" si="42"/>
        <v>0</v>
      </c>
      <c r="P18" s="1713">
        <f t="shared" si="42"/>
        <v>0</v>
      </c>
      <c r="Q18" s="1713">
        <f t="shared" si="42"/>
        <v>0</v>
      </c>
      <c r="R18" s="1713">
        <f t="shared" si="42"/>
        <v>0</v>
      </c>
      <c r="S18" s="1778">
        <f t="shared" si="42"/>
        <v>0</v>
      </c>
      <c r="T18" s="1696"/>
      <c r="U18" s="1713">
        <f>IF(U8=0,0,U17/U8*100)</f>
        <v>0</v>
      </c>
      <c r="V18" s="1713">
        <f>IF(V8=0,0,V17/V8*100)</f>
        <v>0</v>
      </c>
      <c r="W18" s="1713">
        <f t="shared" ref="W18:AI18" si="43">IF(W8=0,0,W17/W8*100)</f>
        <v>0</v>
      </c>
      <c r="X18" s="1713">
        <f t="shared" si="43"/>
        <v>0</v>
      </c>
      <c r="Y18" s="1715">
        <f t="shared" si="43"/>
        <v>0</v>
      </c>
      <c r="Z18" s="1713">
        <f t="shared" si="43"/>
        <v>0</v>
      </c>
      <c r="AA18" s="1713">
        <f t="shared" si="43"/>
        <v>0</v>
      </c>
      <c r="AB18" s="1713">
        <f t="shared" si="43"/>
        <v>0</v>
      </c>
      <c r="AC18" s="1713">
        <f t="shared" si="43"/>
        <v>0</v>
      </c>
      <c r="AD18" s="1715">
        <f t="shared" si="43"/>
        <v>0</v>
      </c>
      <c r="AE18" s="1713">
        <f t="shared" si="43"/>
        <v>0</v>
      </c>
      <c r="AF18" s="1713">
        <f t="shared" si="43"/>
        <v>0</v>
      </c>
      <c r="AG18" s="1713">
        <f t="shared" si="43"/>
        <v>0</v>
      </c>
      <c r="AH18" s="1713">
        <f t="shared" si="43"/>
        <v>0</v>
      </c>
      <c r="AI18" s="1778">
        <f t="shared" si="43"/>
        <v>0</v>
      </c>
      <c r="AJ18" s="1696"/>
      <c r="AK18" s="1713">
        <f>IF(AK8=0,0,AK17/AK8*100)</f>
        <v>0</v>
      </c>
      <c r="AL18" s="1713">
        <f>IF(AL8=0,0,AL17/AL8*100)</f>
        <v>0</v>
      </c>
      <c r="AM18" s="1713">
        <f t="shared" ref="AM18:AY18" si="44">IF(AM8=0,0,AM17/AM8*100)</f>
        <v>0</v>
      </c>
      <c r="AN18" s="1713">
        <f t="shared" si="44"/>
        <v>0</v>
      </c>
      <c r="AO18" s="1715">
        <f t="shared" si="44"/>
        <v>0</v>
      </c>
      <c r="AP18" s="1713">
        <f t="shared" si="44"/>
        <v>0</v>
      </c>
      <c r="AQ18" s="1713">
        <f t="shared" si="44"/>
        <v>0</v>
      </c>
      <c r="AR18" s="1713">
        <f t="shared" si="44"/>
        <v>0</v>
      </c>
      <c r="AS18" s="1713">
        <f t="shared" si="44"/>
        <v>0</v>
      </c>
      <c r="AT18" s="1715">
        <f t="shared" si="44"/>
        <v>0</v>
      </c>
      <c r="AU18" s="1713">
        <f t="shared" si="44"/>
        <v>0</v>
      </c>
      <c r="AV18" s="1713">
        <f t="shared" si="44"/>
        <v>0</v>
      </c>
      <c r="AW18" s="1713">
        <f t="shared" si="44"/>
        <v>0</v>
      </c>
      <c r="AX18" s="1713">
        <f t="shared" si="44"/>
        <v>0</v>
      </c>
      <c r="AY18" s="1778">
        <f t="shared" si="44"/>
        <v>0</v>
      </c>
    </row>
    <row r="19" spans="1:51">
      <c r="A19" s="1685"/>
      <c r="B19" s="1525" t="s">
        <v>239</v>
      </c>
      <c r="C19" s="1717" t="s">
        <v>2035</v>
      </c>
      <c r="D19" s="1589" t="s">
        <v>249</v>
      </c>
      <c r="E19" s="1701">
        <f t="shared" si="21"/>
        <v>0</v>
      </c>
      <c r="F19" s="1531"/>
      <c r="G19" s="1531"/>
      <c r="H19" s="1531"/>
      <c r="I19" s="1703"/>
      <c r="J19" s="1701">
        <f t="shared" ref="J19:J23" si="45">SUM(K19:N19)</f>
        <v>0</v>
      </c>
      <c r="K19" s="1531"/>
      <c r="L19" s="1531"/>
      <c r="M19" s="1531"/>
      <c r="N19" s="1703"/>
      <c r="O19" s="1701">
        <f t="shared" ref="O19:O23" si="46">SUM(P19:S19)</f>
        <v>0</v>
      </c>
      <c r="P19" s="1699">
        <f t="shared" ref="P19:S19" si="47">SUM(F19,K19)</f>
        <v>0</v>
      </c>
      <c r="Q19" s="1699">
        <f t="shared" si="47"/>
        <v>0</v>
      </c>
      <c r="R19" s="1699">
        <f t="shared" si="47"/>
        <v>0</v>
      </c>
      <c r="S19" s="1700">
        <f t="shared" si="47"/>
        <v>0</v>
      </c>
      <c r="T19" s="1686"/>
      <c r="U19" s="1701">
        <f t="shared" ref="U19" si="48">SUM(V19:Y19)</f>
        <v>0</v>
      </c>
      <c r="V19" s="1531"/>
      <c r="W19" s="1531"/>
      <c r="X19" s="1531"/>
      <c r="Y19" s="1703"/>
      <c r="Z19" s="1701">
        <f t="shared" ref="Z19:Z23" si="49">SUM(AA19:AD19)</f>
        <v>0</v>
      </c>
      <c r="AA19" s="1531"/>
      <c r="AB19" s="1531"/>
      <c r="AC19" s="1531"/>
      <c r="AD19" s="1703"/>
      <c r="AE19" s="1701">
        <f t="shared" ref="AE19:AE23" si="50">SUM(AF19:AI19)</f>
        <v>0</v>
      </c>
      <c r="AF19" s="1699">
        <f t="shared" ref="AF19" si="51">SUM(V19,AA19)</f>
        <v>0</v>
      </c>
      <c r="AG19" s="1699">
        <f t="shared" ref="AG19" si="52">SUM(W19,AB19)</f>
        <v>0</v>
      </c>
      <c r="AH19" s="1699">
        <f t="shared" ref="AH19" si="53">SUM(X19,AC19)</f>
        <v>0</v>
      </c>
      <c r="AI19" s="1700">
        <f t="shared" ref="AI19" si="54">SUM(Y19,AD19)</f>
        <v>0</v>
      </c>
      <c r="AJ19" s="1686"/>
      <c r="AK19" s="1701">
        <f t="shared" ref="AK19" si="55">SUM(AL19:AO19)</f>
        <v>0</v>
      </c>
      <c r="AL19" s="1531"/>
      <c r="AM19" s="1531"/>
      <c r="AN19" s="1531"/>
      <c r="AO19" s="1703"/>
      <c r="AP19" s="1701">
        <f t="shared" ref="AP19:AP23" si="56">SUM(AQ19:AT19)</f>
        <v>0</v>
      </c>
      <c r="AQ19" s="1531"/>
      <c r="AR19" s="1531"/>
      <c r="AS19" s="1531"/>
      <c r="AT19" s="1703"/>
      <c r="AU19" s="1701">
        <f t="shared" ref="AU19:AU23" si="57">SUM(AV19:AY19)</f>
        <v>0</v>
      </c>
      <c r="AV19" s="1699">
        <f t="shared" ref="AV19" si="58">SUM(AL19,AQ19)</f>
        <v>0</v>
      </c>
      <c r="AW19" s="1699">
        <f t="shared" ref="AW19" si="59">SUM(AM19,AR19)</f>
        <v>0</v>
      </c>
      <c r="AX19" s="1699">
        <f t="shared" ref="AX19" si="60">SUM(AN19,AS19)</f>
        <v>0</v>
      </c>
      <c r="AY19" s="1700">
        <f t="shared" ref="AY19" si="61">SUM(AO19,AT19)</f>
        <v>0</v>
      </c>
    </row>
    <row r="20" spans="1:51" s="1519" customFormat="1" ht="31.5">
      <c r="A20" s="1687"/>
      <c r="B20" s="1520" t="s">
        <v>242</v>
      </c>
      <c r="C20" s="1521" t="s">
        <v>2036</v>
      </c>
      <c r="D20" s="1711" t="s">
        <v>249</v>
      </c>
      <c r="E20" s="1713">
        <f t="shared" ref="E20" si="62">SUM(F20:I20)</f>
        <v>0</v>
      </c>
      <c r="F20" s="1714">
        <f>SUM(F21,F23)</f>
        <v>0</v>
      </c>
      <c r="G20" s="1714">
        <f>SUM(G21,G23)</f>
        <v>0</v>
      </c>
      <c r="H20" s="1714">
        <f>SUM(H21,H23)</f>
        <v>0</v>
      </c>
      <c r="I20" s="1715">
        <f>SUM(I21,I23)</f>
        <v>0</v>
      </c>
      <c r="J20" s="1713">
        <f t="shared" si="45"/>
        <v>0</v>
      </c>
      <c r="K20" s="1714">
        <f>SUM(K21,K23)</f>
        <v>0</v>
      </c>
      <c r="L20" s="1714">
        <f>SUM(L21,L23)</f>
        <v>0</v>
      </c>
      <c r="M20" s="1714">
        <f>SUM(M21,M23)</f>
        <v>0</v>
      </c>
      <c r="N20" s="1715">
        <f>SUM(N21,N23)</f>
        <v>0</v>
      </c>
      <c r="O20" s="1713">
        <f t="shared" si="46"/>
        <v>0</v>
      </c>
      <c r="P20" s="1714">
        <f>SUM(P21,P23)</f>
        <v>0</v>
      </c>
      <c r="Q20" s="1714">
        <f>SUM(Q21,Q23)</f>
        <v>0</v>
      </c>
      <c r="R20" s="1714">
        <f>SUM(R21,R23)</f>
        <v>0</v>
      </c>
      <c r="S20" s="1715">
        <f>SUM(S21,S23)</f>
        <v>0</v>
      </c>
      <c r="T20" s="1696"/>
      <c r="U20" s="1713">
        <f t="shared" ref="U20" si="63">SUM(V20:Y20)</f>
        <v>0</v>
      </c>
      <c r="V20" s="1714">
        <f>SUM(V21,V23)</f>
        <v>0</v>
      </c>
      <c r="W20" s="1714">
        <f>SUM(W21,W23)</f>
        <v>0</v>
      </c>
      <c r="X20" s="1714">
        <f>SUM(X21,X23)</f>
        <v>0</v>
      </c>
      <c r="Y20" s="1715">
        <f>SUM(Y21,Y23)</f>
        <v>0</v>
      </c>
      <c r="Z20" s="1713">
        <f t="shared" si="49"/>
        <v>0</v>
      </c>
      <c r="AA20" s="1714">
        <f>SUM(AA21,AA23)</f>
        <v>0</v>
      </c>
      <c r="AB20" s="1714">
        <f>SUM(AB21,AB23)</f>
        <v>0</v>
      </c>
      <c r="AC20" s="1714">
        <f>SUM(AC21,AC23)</f>
        <v>0</v>
      </c>
      <c r="AD20" s="1715">
        <f>SUM(AD21,AD23)</f>
        <v>0</v>
      </c>
      <c r="AE20" s="1713">
        <f t="shared" si="50"/>
        <v>0</v>
      </c>
      <c r="AF20" s="1714">
        <f>SUM(AF21,AF23)</f>
        <v>0</v>
      </c>
      <c r="AG20" s="1714">
        <f>SUM(AG21,AG23)</f>
        <v>0</v>
      </c>
      <c r="AH20" s="1714">
        <f>SUM(AH21,AH23)</f>
        <v>0</v>
      </c>
      <c r="AI20" s="1715">
        <f>SUM(AI21,AI23)</f>
        <v>0</v>
      </c>
      <c r="AJ20" s="1696"/>
      <c r="AK20" s="1713">
        <f t="shared" ref="AK20" si="64">SUM(AL20:AO20)</f>
        <v>0</v>
      </c>
      <c r="AL20" s="1714">
        <f>SUM(AL21,AL23)</f>
        <v>0</v>
      </c>
      <c r="AM20" s="1714">
        <f>SUM(AM21,AM23)</f>
        <v>0</v>
      </c>
      <c r="AN20" s="1714">
        <f>SUM(AN21,AN23)</f>
        <v>0</v>
      </c>
      <c r="AO20" s="1715">
        <f>SUM(AO21,AO23)</f>
        <v>0</v>
      </c>
      <c r="AP20" s="1713">
        <f t="shared" si="56"/>
        <v>0</v>
      </c>
      <c r="AQ20" s="1714">
        <f>SUM(AQ21,AQ23)</f>
        <v>0</v>
      </c>
      <c r="AR20" s="1714">
        <f>SUM(AR21,AR23)</f>
        <v>0</v>
      </c>
      <c r="AS20" s="1714">
        <f>SUM(AS21,AS23)</f>
        <v>0</v>
      </c>
      <c r="AT20" s="1715">
        <f>SUM(AT21,AT23)</f>
        <v>0</v>
      </c>
      <c r="AU20" s="1713">
        <f t="shared" si="57"/>
        <v>0</v>
      </c>
      <c r="AV20" s="1714">
        <f>SUM(AV21,AV23)</f>
        <v>0</v>
      </c>
      <c r="AW20" s="1714">
        <f>SUM(AW21,AW23)</f>
        <v>0</v>
      </c>
      <c r="AX20" s="1714">
        <f>SUM(AX21,AX23)</f>
        <v>0</v>
      </c>
      <c r="AY20" s="1715">
        <f>SUM(AY21,AY23)</f>
        <v>0</v>
      </c>
    </row>
    <row r="21" spans="1:51" ht="30">
      <c r="A21" s="1685"/>
      <c r="B21" s="1525" t="s">
        <v>473</v>
      </c>
      <c r="C21" s="1526" t="s">
        <v>2064</v>
      </c>
      <c r="D21" s="1589" t="s">
        <v>249</v>
      </c>
      <c r="E21" s="1701">
        <f t="shared" si="21"/>
        <v>0</v>
      </c>
      <c r="F21" s="1538"/>
      <c r="G21" s="1538"/>
      <c r="H21" s="1538"/>
      <c r="I21" s="1725"/>
      <c r="J21" s="1701">
        <f t="shared" si="45"/>
        <v>0</v>
      </c>
      <c r="K21" s="1538"/>
      <c r="L21" s="1538"/>
      <c r="M21" s="1538"/>
      <c r="N21" s="1725"/>
      <c r="O21" s="1701">
        <f t="shared" si="46"/>
        <v>0</v>
      </c>
      <c r="P21" s="1699">
        <f t="shared" ref="P21:S23" si="65">SUM(F21,K21)</f>
        <v>0</v>
      </c>
      <c r="Q21" s="1699">
        <f t="shared" si="65"/>
        <v>0</v>
      </c>
      <c r="R21" s="1699">
        <f t="shared" si="65"/>
        <v>0</v>
      </c>
      <c r="S21" s="1700">
        <f t="shared" si="65"/>
        <v>0</v>
      </c>
      <c r="T21" s="1686"/>
      <c r="U21" s="1701">
        <f t="shared" ref="U21:U23" si="66">SUM(V21:Y21)</f>
        <v>0</v>
      </c>
      <c r="V21" s="1538"/>
      <c r="W21" s="1538"/>
      <c r="X21" s="1538"/>
      <c r="Y21" s="1725"/>
      <c r="Z21" s="1701">
        <f t="shared" si="49"/>
        <v>0</v>
      </c>
      <c r="AA21" s="1538"/>
      <c r="AB21" s="1538"/>
      <c r="AC21" s="1538"/>
      <c r="AD21" s="1725"/>
      <c r="AE21" s="1701">
        <f t="shared" si="50"/>
        <v>0</v>
      </c>
      <c r="AF21" s="1699">
        <f t="shared" ref="AF21:AF23" si="67">SUM(V21,AA21)</f>
        <v>0</v>
      </c>
      <c r="AG21" s="1699">
        <f t="shared" ref="AG21:AG23" si="68">SUM(W21,AB21)</f>
        <v>0</v>
      </c>
      <c r="AH21" s="1699">
        <f t="shared" ref="AH21:AH23" si="69">SUM(X21,AC21)</f>
        <v>0</v>
      </c>
      <c r="AI21" s="1700">
        <f t="shared" ref="AI21:AI23" si="70">SUM(Y21,AD21)</f>
        <v>0</v>
      </c>
      <c r="AJ21" s="1686"/>
      <c r="AK21" s="1701">
        <f t="shared" ref="AK21:AK23" si="71">SUM(AL21:AO21)</f>
        <v>0</v>
      </c>
      <c r="AL21" s="1538"/>
      <c r="AM21" s="1538"/>
      <c r="AN21" s="1538"/>
      <c r="AO21" s="1725"/>
      <c r="AP21" s="1701">
        <f t="shared" si="56"/>
        <v>0</v>
      </c>
      <c r="AQ21" s="1538"/>
      <c r="AR21" s="1538"/>
      <c r="AS21" s="1538"/>
      <c r="AT21" s="1725"/>
      <c r="AU21" s="1701">
        <f t="shared" si="57"/>
        <v>0</v>
      </c>
      <c r="AV21" s="1699">
        <f t="shared" ref="AV21:AV23" si="72">SUM(AL21,AQ21)</f>
        <v>0</v>
      </c>
      <c r="AW21" s="1699">
        <f t="shared" ref="AW21:AW23" si="73">SUM(AM21,AR21)</f>
        <v>0</v>
      </c>
      <c r="AX21" s="1699">
        <f t="shared" ref="AX21:AX23" si="74">SUM(AN21,AS21)</f>
        <v>0</v>
      </c>
      <c r="AY21" s="1700">
        <f t="shared" ref="AY21:AY23" si="75">SUM(AO21,AT21)</f>
        <v>0</v>
      </c>
    </row>
    <row r="22" spans="1:51" ht="30">
      <c r="A22" s="1685"/>
      <c r="B22" s="1525" t="s">
        <v>2065</v>
      </c>
      <c r="C22" s="1702" t="s">
        <v>2066</v>
      </c>
      <c r="D22" s="1589" t="s">
        <v>249</v>
      </c>
      <c r="E22" s="1701">
        <f t="shared" si="21"/>
        <v>0</v>
      </c>
      <c r="F22" s="1538"/>
      <c r="G22" s="1538"/>
      <c r="H22" s="1538"/>
      <c r="I22" s="1725"/>
      <c r="J22" s="1701">
        <f t="shared" si="45"/>
        <v>0</v>
      </c>
      <c r="K22" s="1538"/>
      <c r="L22" s="1538"/>
      <c r="M22" s="1538"/>
      <c r="N22" s="1725"/>
      <c r="O22" s="1701">
        <f t="shared" si="46"/>
        <v>0</v>
      </c>
      <c r="P22" s="1699">
        <f t="shared" si="65"/>
        <v>0</v>
      </c>
      <c r="Q22" s="1699">
        <f t="shared" si="65"/>
        <v>0</v>
      </c>
      <c r="R22" s="1699">
        <f t="shared" si="65"/>
        <v>0</v>
      </c>
      <c r="S22" s="1700">
        <f t="shared" si="65"/>
        <v>0</v>
      </c>
      <c r="T22" s="1686"/>
      <c r="U22" s="1701">
        <f t="shared" si="66"/>
        <v>0</v>
      </c>
      <c r="V22" s="1538"/>
      <c r="W22" s="1538"/>
      <c r="X22" s="1538"/>
      <c r="Y22" s="1725"/>
      <c r="Z22" s="1701">
        <f t="shared" si="49"/>
        <v>0</v>
      </c>
      <c r="AA22" s="1538"/>
      <c r="AB22" s="1538"/>
      <c r="AC22" s="1538"/>
      <c r="AD22" s="1725"/>
      <c r="AE22" s="1701">
        <f t="shared" si="50"/>
        <v>0</v>
      </c>
      <c r="AF22" s="1699">
        <f t="shared" si="67"/>
        <v>0</v>
      </c>
      <c r="AG22" s="1699">
        <f t="shared" si="68"/>
        <v>0</v>
      </c>
      <c r="AH22" s="1699">
        <f t="shared" si="69"/>
        <v>0</v>
      </c>
      <c r="AI22" s="1700">
        <f t="shared" si="70"/>
        <v>0</v>
      </c>
      <c r="AJ22" s="1686"/>
      <c r="AK22" s="1701">
        <f t="shared" si="71"/>
        <v>0</v>
      </c>
      <c r="AL22" s="1538"/>
      <c r="AM22" s="1538"/>
      <c r="AN22" s="1538"/>
      <c r="AO22" s="1725"/>
      <c r="AP22" s="1701">
        <f t="shared" si="56"/>
        <v>0</v>
      </c>
      <c r="AQ22" s="1538"/>
      <c r="AR22" s="1538"/>
      <c r="AS22" s="1538"/>
      <c r="AT22" s="1725"/>
      <c r="AU22" s="1701">
        <f t="shared" si="57"/>
        <v>0</v>
      </c>
      <c r="AV22" s="1699">
        <f t="shared" si="72"/>
        <v>0</v>
      </c>
      <c r="AW22" s="1699">
        <f t="shared" si="73"/>
        <v>0</v>
      </c>
      <c r="AX22" s="1699">
        <f t="shared" si="74"/>
        <v>0</v>
      </c>
      <c r="AY22" s="1700">
        <f t="shared" si="75"/>
        <v>0</v>
      </c>
    </row>
    <row r="23" spans="1:51" ht="30.75" thickBot="1">
      <c r="A23" s="1685"/>
      <c r="B23" s="1532" t="s">
        <v>481</v>
      </c>
      <c r="C23" s="1533" t="s">
        <v>2067</v>
      </c>
      <c r="D23" s="1768" t="s">
        <v>249</v>
      </c>
      <c r="E23" s="1701">
        <f t="shared" si="21"/>
        <v>0</v>
      </c>
      <c r="F23" s="1538"/>
      <c r="G23" s="1538"/>
      <c r="H23" s="1538"/>
      <c r="I23" s="1721"/>
      <c r="J23" s="1701">
        <f t="shared" si="45"/>
        <v>0</v>
      </c>
      <c r="K23" s="1538"/>
      <c r="L23" s="1538"/>
      <c r="M23" s="1538"/>
      <c r="N23" s="1721"/>
      <c r="O23" s="1701">
        <f t="shared" si="46"/>
        <v>0</v>
      </c>
      <c r="P23" s="1699">
        <f t="shared" si="65"/>
        <v>0</v>
      </c>
      <c r="Q23" s="1699">
        <f t="shared" si="65"/>
        <v>0</v>
      </c>
      <c r="R23" s="1699">
        <f t="shared" si="65"/>
        <v>0</v>
      </c>
      <c r="S23" s="1700">
        <f t="shared" si="65"/>
        <v>0</v>
      </c>
      <c r="T23" s="1686"/>
      <c r="U23" s="1701">
        <f t="shared" si="66"/>
        <v>0</v>
      </c>
      <c r="V23" s="1538"/>
      <c r="W23" s="1538"/>
      <c r="X23" s="1538"/>
      <c r="Y23" s="1721"/>
      <c r="Z23" s="1701">
        <f t="shared" si="49"/>
        <v>0</v>
      </c>
      <c r="AA23" s="1538"/>
      <c r="AB23" s="1538"/>
      <c r="AC23" s="1538"/>
      <c r="AD23" s="1721"/>
      <c r="AE23" s="1701">
        <f t="shared" si="50"/>
        <v>0</v>
      </c>
      <c r="AF23" s="1699">
        <f t="shared" si="67"/>
        <v>0</v>
      </c>
      <c r="AG23" s="1699">
        <f t="shared" si="68"/>
        <v>0</v>
      </c>
      <c r="AH23" s="1699">
        <f t="shared" si="69"/>
        <v>0</v>
      </c>
      <c r="AI23" s="1700">
        <f t="shared" si="70"/>
        <v>0</v>
      </c>
      <c r="AJ23" s="1686"/>
      <c r="AK23" s="1701">
        <f t="shared" si="71"/>
        <v>0</v>
      </c>
      <c r="AL23" s="1538"/>
      <c r="AM23" s="1538"/>
      <c r="AN23" s="1538"/>
      <c r="AO23" s="1721"/>
      <c r="AP23" s="1701">
        <f t="shared" si="56"/>
        <v>0</v>
      </c>
      <c r="AQ23" s="1538"/>
      <c r="AR23" s="1538"/>
      <c r="AS23" s="1538"/>
      <c r="AT23" s="1721"/>
      <c r="AU23" s="1701">
        <f t="shared" si="57"/>
        <v>0</v>
      </c>
      <c r="AV23" s="1699">
        <f t="shared" si="72"/>
        <v>0</v>
      </c>
      <c r="AW23" s="1699">
        <f t="shared" si="73"/>
        <v>0</v>
      </c>
      <c r="AX23" s="1699">
        <f t="shared" si="74"/>
        <v>0</v>
      </c>
      <c r="AY23" s="1700">
        <f t="shared" si="75"/>
        <v>0</v>
      </c>
    </row>
    <row r="24" spans="1:51" ht="16.5" thickBot="1">
      <c r="A24" s="1489"/>
      <c r="B24" s="2196" t="s">
        <v>1084</v>
      </c>
      <c r="C24" s="2197"/>
      <c r="D24" s="2198"/>
      <c r="E24" s="1779">
        <f>E8-E17-E19-E20</f>
        <v>0</v>
      </c>
      <c r="F24" s="1780">
        <f>F8-G11-F19-H11-F17-F20</f>
        <v>0</v>
      </c>
      <c r="G24" s="1780">
        <f>G8-H12-I12-G17-G19-G20</f>
        <v>0</v>
      </c>
      <c r="H24" s="1780">
        <f>H8-I13-H17-H19-H20</f>
        <v>0</v>
      </c>
      <c r="I24" s="1781">
        <f>I8-I17-I19-I20</f>
        <v>0</v>
      </c>
      <c r="J24" s="1779">
        <f>J8-J17-J19-J20</f>
        <v>0</v>
      </c>
      <c r="K24" s="1780">
        <f>K8-L11-K19-M11-K17-K20</f>
        <v>0</v>
      </c>
      <c r="L24" s="1780">
        <f>L8-M12-N12-L17-L19-L20</f>
        <v>0</v>
      </c>
      <c r="M24" s="1780">
        <f>M8-N13-M17-M19-M20</f>
        <v>0</v>
      </c>
      <c r="N24" s="1781">
        <f>N8-N17-N19-N20</f>
        <v>0</v>
      </c>
      <c r="O24" s="1779">
        <f>O8-O17-O19-O20</f>
        <v>0</v>
      </c>
      <c r="P24" s="1780">
        <f>P8-Q11-P19-R11-P17-P20</f>
        <v>0</v>
      </c>
      <c r="Q24" s="1780">
        <f>Q8-R12-S12-Q17-Q19-Q20</f>
        <v>0</v>
      </c>
      <c r="R24" s="1780">
        <f>R8-S13-R17-R19-R20</f>
        <v>0</v>
      </c>
      <c r="S24" s="1781">
        <f>S8-S17-S19-S20</f>
        <v>0</v>
      </c>
      <c r="U24" s="1779">
        <f>U8-U17-U19-U20</f>
        <v>0</v>
      </c>
      <c r="V24" s="1780">
        <f>V8-W11-V19-X11-V17-V20</f>
        <v>0</v>
      </c>
      <c r="W24" s="1780">
        <f>W8-X12-Y12-W17-W19-W20</f>
        <v>0</v>
      </c>
      <c r="X24" s="1780">
        <f>X8-Y13-X17-X19-X20</f>
        <v>0</v>
      </c>
      <c r="Y24" s="1781">
        <f>Y8-Y17-Y19-Y20</f>
        <v>0</v>
      </c>
      <c r="Z24" s="1779">
        <f>Z8-Z17-Z19-Z20</f>
        <v>0</v>
      </c>
      <c r="AA24" s="1780">
        <f>AA8-AB11-AA19-AC11-AA17-AA20</f>
        <v>0</v>
      </c>
      <c r="AB24" s="1780">
        <f>AB8-AC12-AD12-AB17-AB19-AB20</f>
        <v>0</v>
      </c>
      <c r="AC24" s="1780">
        <f>AC8-AD13-AC17-AC19-AC20</f>
        <v>0</v>
      </c>
      <c r="AD24" s="1781">
        <f>AD8-AD17-AD19-AD20</f>
        <v>0</v>
      </c>
      <c r="AE24" s="1779">
        <f>AE8-AE17-AE19-AE20</f>
        <v>0</v>
      </c>
      <c r="AF24" s="1780">
        <f>AF8-AG11-AF19-AH11-AF17-AF20</f>
        <v>0</v>
      </c>
      <c r="AG24" s="1780">
        <f>AG8-AH12-AI12-AG17-AG19-AG20</f>
        <v>0</v>
      </c>
      <c r="AH24" s="1780">
        <f>AH8-AI13-AH17-AH19-AH20</f>
        <v>0</v>
      </c>
      <c r="AI24" s="1781">
        <f>AI8-AI17-AI19-AI20</f>
        <v>0</v>
      </c>
      <c r="AJ24" s="1686"/>
      <c r="AK24" s="1783">
        <f>AK8-AK17-AK19-AK20</f>
        <v>0</v>
      </c>
      <c r="AL24" s="1780">
        <f>AL8-AM11-AL19-AN11-AL17-AL20</f>
        <v>0</v>
      </c>
      <c r="AM24" s="1780">
        <f>AM8-AN12-AO12-AM17-AM19-AM20</f>
        <v>0</v>
      </c>
      <c r="AN24" s="1780">
        <f>AN8-AO13-AN17-AN19-AN20</f>
        <v>0</v>
      </c>
      <c r="AO24" s="1781">
        <f>AO8-AO17-AO19-AO20</f>
        <v>0</v>
      </c>
      <c r="AP24" s="1779">
        <f>AP8-AP17-AP19-AP20</f>
        <v>0</v>
      </c>
      <c r="AQ24" s="1780">
        <f>AQ8-AR11-AQ19-AS11-AQ17-AQ20</f>
        <v>0</v>
      </c>
      <c r="AR24" s="1780">
        <f>AR8-AS12-AT12-AR17-AR19-AR20</f>
        <v>0</v>
      </c>
      <c r="AS24" s="1780">
        <f>AS8-AT13-AS17-AS19-AS20</f>
        <v>0</v>
      </c>
      <c r="AT24" s="1781">
        <f>AT8-AT17-AT19-AT20</f>
        <v>0</v>
      </c>
      <c r="AU24" s="1779">
        <f>AU8-AU17-AU19-AU20</f>
        <v>0</v>
      </c>
      <c r="AV24" s="1780">
        <f>AV8-AW11-AV19-AX11-AV17-AV20</f>
        <v>0</v>
      </c>
      <c r="AW24" s="1780">
        <f>AW8-AX12-AY12-AW17-AW19-AW20</f>
        <v>0</v>
      </c>
      <c r="AX24" s="1780">
        <f>AX8-AY13-AX17-AX19-AX20</f>
        <v>0</v>
      </c>
      <c r="AY24" s="1781">
        <f>AY8-AY17-AY19-AY20</f>
        <v>0</v>
      </c>
    </row>
    <row r="28" spans="1:51" ht="20.25">
      <c r="E28" s="2188" t="s">
        <v>2068</v>
      </c>
      <c r="F28" s="2188"/>
      <c r="G28" s="2188"/>
      <c r="H28" s="2188"/>
      <c r="I28" s="2188"/>
      <c r="J28" s="2188"/>
      <c r="K28" s="2188"/>
      <c r="L28" s="2188"/>
      <c r="M28" s="2188"/>
      <c r="N28" s="2188"/>
      <c r="O28" s="2188"/>
      <c r="P28" s="2188"/>
      <c r="Q28" s="2188"/>
      <c r="R28" s="2188"/>
      <c r="S28" s="2188"/>
      <c r="U28" s="2188" t="s">
        <v>2068</v>
      </c>
      <c r="V28" s="2188"/>
      <c r="W28" s="2188"/>
      <c r="X28" s="2188"/>
      <c r="Y28" s="2188"/>
      <c r="Z28" s="2188"/>
      <c r="AA28" s="2188"/>
      <c r="AB28" s="2188"/>
      <c r="AC28" s="2188"/>
      <c r="AD28" s="2188"/>
      <c r="AE28" s="2188"/>
      <c r="AF28" s="2188"/>
      <c r="AG28" s="2188"/>
      <c r="AH28" s="2188"/>
      <c r="AI28" s="2188"/>
      <c r="AK28" s="2188" t="s">
        <v>2068</v>
      </c>
      <c r="AL28" s="2188"/>
      <c r="AM28" s="2188"/>
      <c r="AN28" s="2188"/>
      <c r="AO28" s="2188"/>
      <c r="AP28" s="2188"/>
      <c r="AQ28" s="2188"/>
      <c r="AR28" s="2188"/>
      <c r="AS28" s="2188"/>
      <c r="AT28" s="2188"/>
      <c r="AU28" s="2188"/>
      <c r="AV28" s="2188"/>
      <c r="AW28" s="2188"/>
      <c r="AX28" s="2188"/>
      <c r="AY28" s="2188"/>
    </row>
    <row r="29" spans="1:51" ht="20.25">
      <c r="E29" s="2188" t="str">
        <f>"в границах «котла» "&amp;'0. Анкета'!$C$4</f>
        <v xml:space="preserve">в границах «котла» </v>
      </c>
      <c r="F29" s="2188"/>
      <c r="G29" s="2188"/>
      <c r="H29" s="2188"/>
      <c r="I29" s="2188"/>
      <c r="J29" s="2188"/>
      <c r="K29" s="2188"/>
      <c r="L29" s="2188"/>
      <c r="M29" s="2188"/>
      <c r="N29" s="2188"/>
      <c r="O29" s="2188"/>
      <c r="P29" s="2188"/>
      <c r="Q29" s="2188"/>
      <c r="R29" s="2188"/>
      <c r="S29" s="2188"/>
      <c r="U29" s="2188" t="str">
        <f>"в границах «котла» "&amp;'0. Анкета'!$C$4</f>
        <v xml:space="preserve">в границах «котла» </v>
      </c>
      <c r="V29" s="2188"/>
      <c r="W29" s="2188"/>
      <c r="X29" s="2188"/>
      <c r="Y29" s="2188"/>
      <c r="Z29" s="2188"/>
      <c r="AA29" s="2188"/>
      <c r="AB29" s="2188"/>
      <c r="AC29" s="2188"/>
      <c r="AD29" s="2188"/>
      <c r="AE29" s="2188"/>
      <c r="AF29" s="2188"/>
      <c r="AG29" s="2188"/>
      <c r="AH29" s="2188"/>
      <c r="AI29" s="2188"/>
      <c r="AK29" s="2188" t="str">
        <f>"в границах «котла» "&amp;'0. Анкета'!$C$4</f>
        <v xml:space="preserve">в границах «котла» </v>
      </c>
      <c r="AL29" s="2188"/>
      <c r="AM29" s="2188"/>
      <c r="AN29" s="2188"/>
      <c r="AO29" s="2188"/>
      <c r="AP29" s="2188"/>
      <c r="AQ29" s="2188"/>
      <c r="AR29" s="2188"/>
      <c r="AS29" s="2188"/>
      <c r="AT29" s="2188"/>
      <c r="AU29" s="2188"/>
      <c r="AV29" s="2188"/>
      <c r="AW29" s="2188"/>
      <c r="AX29" s="2188"/>
      <c r="AY29" s="2188"/>
    </row>
    <row r="30" spans="1:51" ht="15.75" thickBot="1"/>
    <row r="31" spans="1:51" ht="15.75" customHeight="1">
      <c r="A31" s="1685"/>
      <c r="B31" s="2191" t="s">
        <v>12</v>
      </c>
      <c r="C31" s="2189" t="s">
        <v>261</v>
      </c>
      <c r="D31" s="2180" t="s">
        <v>262</v>
      </c>
      <c r="E31" s="2182" t="s">
        <v>2022</v>
      </c>
      <c r="F31" s="2183"/>
      <c r="G31" s="2183"/>
      <c r="H31" s="2183"/>
      <c r="I31" s="2184"/>
      <c r="J31" s="2182" t="s">
        <v>2023</v>
      </c>
      <c r="K31" s="2183"/>
      <c r="L31" s="2183"/>
      <c r="M31" s="2183"/>
      <c r="N31" s="2184"/>
      <c r="O31" s="2182" t="s">
        <v>2024</v>
      </c>
      <c r="P31" s="2183"/>
      <c r="Q31" s="2183"/>
      <c r="R31" s="2183"/>
      <c r="S31" s="2184"/>
      <c r="U31" s="2182" t="str">
        <f>U6</f>
        <v>I полугодие 2024 года (Предложение Организации)</v>
      </c>
      <c r="V31" s="2183"/>
      <c r="W31" s="2183"/>
      <c r="X31" s="2183"/>
      <c r="Y31" s="2184"/>
      <c r="Z31" s="2182" t="str">
        <f>Z6</f>
        <v>II полугодие 2024 года (Предложение Организации)</v>
      </c>
      <c r="AA31" s="2183"/>
      <c r="AB31" s="2183"/>
      <c r="AC31" s="2183"/>
      <c r="AD31" s="2184"/>
      <c r="AE31" s="2182" t="str">
        <f>AE6</f>
        <v>2024 год (Предложение Организации)</v>
      </c>
      <c r="AF31" s="2183"/>
      <c r="AG31" s="2183"/>
      <c r="AH31" s="2183"/>
      <c r="AI31" s="2184"/>
      <c r="AK31" s="2182" t="str">
        <f>AK6</f>
        <v>I полугодие 2024 года (Согласовано Экспертами)</v>
      </c>
      <c r="AL31" s="2183"/>
      <c r="AM31" s="2183"/>
      <c r="AN31" s="2183"/>
      <c r="AO31" s="2184"/>
      <c r="AP31" s="2182" t="str">
        <f>AP6</f>
        <v>II полугодие 2024 года (Согласовано Экспертами)</v>
      </c>
      <c r="AQ31" s="2183"/>
      <c r="AR31" s="2183"/>
      <c r="AS31" s="2183"/>
      <c r="AT31" s="2184"/>
      <c r="AU31" s="2182" t="str">
        <f>AU6</f>
        <v>2024 год (Согласовано Экспертами)</v>
      </c>
      <c r="AV31" s="2183"/>
      <c r="AW31" s="2183"/>
      <c r="AX31" s="2183"/>
      <c r="AY31" s="2184"/>
    </row>
    <row r="32" spans="1:51" ht="16.5" thickBot="1">
      <c r="A32" s="1685"/>
      <c r="B32" s="2193"/>
      <c r="C32" s="2194"/>
      <c r="D32" s="2195"/>
      <c r="E32" s="1494" t="s">
        <v>2025</v>
      </c>
      <c r="F32" s="1612" t="s">
        <v>168</v>
      </c>
      <c r="G32" s="1612" t="s">
        <v>208</v>
      </c>
      <c r="H32" s="1612" t="s">
        <v>209</v>
      </c>
      <c r="I32" s="1613" t="s">
        <v>171</v>
      </c>
      <c r="J32" s="1494" t="s">
        <v>2025</v>
      </c>
      <c r="K32" s="1612" t="s">
        <v>168</v>
      </c>
      <c r="L32" s="1612" t="s">
        <v>208</v>
      </c>
      <c r="M32" s="1612" t="s">
        <v>209</v>
      </c>
      <c r="N32" s="1613" t="s">
        <v>171</v>
      </c>
      <c r="O32" s="1494" t="s">
        <v>2025</v>
      </c>
      <c r="P32" s="1612" t="s">
        <v>168</v>
      </c>
      <c r="Q32" s="1612" t="s">
        <v>208</v>
      </c>
      <c r="R32" s="1612" t="s">
        <v>209</v>
      </c>
      <c r="S32" s="1613" t="s">
        <v>171</v>
      </c>
      <c r="T32" s="1686"/>
      <c r="U32" s="1611" t="s">
        <v>2025</v>
      </c>
      <c r="V32" s="1612" t="s">
        <v>168</v>
      </c>
      <c r="W32" s="1612" t="s">
        <v>208</v>
      </c>
      <c r="X32" s="1612" t="s">
        <v>209</v>
      </c>
      <c r="Y32" s="1613" t="s">
        <v>171</v>
      </c>
      <c r="Z32" s="1494" t="s">
        <v>2025</v>
      </c>
      <c r="AA32" s="1612" t="s">
        <v>168</v>
      </c>
      <c r="AB32" s="1612" t="s">
        <v>208</v>
      </c>
      <c r="AC32" s="1612" t="s">
        <v>209</v>
      </c>
      <c r="AD32" s="1613" t="s">
        <v>171</v>
      </c>
      <c r="AE32" s="1494" t="s">
        <v>2025</v>
      </c>
      <c r="AF32" s="1612" t="s">
        <v>168</v>
      </c>
      <c r="AG32" s="1612" t="s">
        <v>208</v>
      </c>
      <c r="AH32" s="1612" t="s">
        <v>209</v>
      </c>
      <c r="AI32" s="1613" t="s">
        <v>171</v>
      </c>
      <c r="AK32" s="1494" t="s">
        <v>2025</v>
      </c>
      <c r="AL32" s="1612" t="s">
        <v>168</v>
      </c>
      <c r="AM32" s="1612" t="s">
        <v>208</v>
      </c>
      <c r="AN32" s="1612" t="s">
        <v>209</v>
      </c>
      <c r="AO32" s="1613" t="s">
        <v>171</v>
      </c>
      <c r="AP32" s="1494" t="s">
        <v>2025</v>
      </c>
      <c r="AQ32" s="1612" t="s">
        <v>168</v>
      </c>
      <c r="AR32" s="1612" t="s">
        <v>208</v>
      </c>
      <c r="AS32" s="1612" t="s">
        <v>209</v>
      </c>
      <c r="AT32" s="1613" t="s">
        <v>171</v>
      </c>
      <c r="AU32" s="1494" t="s">
        <v>2025</v>
      </c>
      <c r="AV32" s="1612" t="s">
        <v>168</v>
      </c>
      <c r="AW32" s="1612" t="s">
        <v>208</v>
      </c>
      <c r="AX32" s="1612" t="s">
        <v>209</v>
      </c>
      <c r="AY32" s="1613" t="s">
        <v>171</v>
      </c>
    </row>
    <row r="33" spans="1:51" ht="15.75">
      <c r="A33" s="1685"/>
      <c r="B33" s="1688" t="s">
        <v>234</v>
      </c>
      <c r="C33" s="1689" t="s">
        <v>2039</v>
      </c>
      <c r="D33" s="1690" t="s">
        <v>241</v>
      </c>
      <c r="E33" s="1695">
        <f>E35+E39+E40+E41</f>
        <v>0</v>
      </c>
      <c r="F33" s="1692">
        <f>F34+F39+F40+F41</f>
        <v>0</v>
      </c>
      <c r="G33" s="1692">
        <f>G34+G39+G40+G41</f>
        <v>0</v>
      </c>
      <c r="H33" s="1692">
        <f>H34+H39+H40+H41</f>
        <v>0</v>
      </c>
      <c r="I33" s="1693">
        <f>I34+I39+I40+I41</f>
        <v>0</v>
      </c>
      <c r="J33" s="1695">
        <f>J35+J39+J40+J41</f>
        <v>0</v>
      </c>
      <c r="K33" s="1692">
        <f>K34+K39+K40+K41</f>
        <v>0</v>
      </c>
      <c r="L33" s="1692">
        <f>L34+L39+L40+L41</f>
        <v>0</v>
      </c>
      <c r="M33" s="1692">
        <f>M34+M39+M40+M41</f>
        <v>0</v>
      </c>
      <c r="N33" s="1693">
        <f>N34+N39+N40+N41</f>
        <v>0</v>
      </c>
      <c r="O33" s="1695">
        <f>O35+O39+O40+O41</f>
        <v>0</v>
      </c>
      <c r="P33" s="1692">
        <f>P34+P39+P40+P41</f>
        <v>0</v>
      </c>
      <c r="Q33" s="1692">
        <f>Q34+Q39+Q40+Q41</f>
        <v>0</v>
      </c>
      <c r="R33" s="1692">
        <f>R34+R39+R40+R41</f>
        <v>0</v>
      </c>
      <c r="S33" s="1693">
        <f>S34+S39+S40+S41</f>
        <v>0</v>
      </c>
      <c r="T33" s="1686"/>
      <c r="U33" s="1695">
        <f>U35+U39+U40+U41</f>
        <v>0</v>
      </c>
      <c r="V33" s="1692">
        <f>V34+V39+V40+V41</f>
        <v>0</v>
      </c>
      <c r="W33" s="1692">
        <f>W34+W39+W40+W41</f>
        <v>0</v>
      </c>
      <c r="X33" s="1692">
        <f>X34+X39+X40+X41</f>
        <v>0</v>
      </c>
      <c r="Y33" s="1693">
        <f>Y34+Y39+Y40+Y41</f>
        <v>0</v>
      </c>
      <c r="Z33" s="1695">
        <f>Z35+Z39+Z40+Z41</f>
        <v>0</v>
      </c>
      <c r="AA33" s="1692">
        <f>AA34+AA39+AA40+AA41</f>
        <v>0</v>
      </c>
      <c r="AB33" s="1692">
        <f>AB34+AB39+AB40+AB41</f>
        <v>0</v>
      </c>
      <c r="AC33" s="1692">
        <f>AC34+AC39+AC40+AC41</f>
        <v>0</v>
      </c>
      <c r="AD33" s="1693">
        <f>AD34+AD39+AD40+AD41</f>
        <v>0</v>
      </c>
      <c r="AE33" s="1695">
        <f>AE35+AE39+AE40+AE41</f>
        <v>0</v>
      </c>
      <c r="AF33" s="1692">
        <f>AF34+AF39+AF40+AF41</f>
        <v>0</v>
      </c>
      <c r="AG33" s="1692">
        <f>AG34+AG39+AG40+AG41</f>
        <v>0</v>
      </c>
      <c r="AH33" s="1692">
        <f>AH34+AH39+AH40+AH41</f>
        <v>0</v>
      </c>
      <c r="AI33" s="1693">
        <f>AI34+AI39+AI40+AI41</f>
        <v>0</v>
      </c>
      <c r="AJ33" s="1686"/>
      <c r="AK33" s="1695">
        <f>AK35+AK39+AK40+AK41</f>
        <v>0</v>
      </c>
      <c r="AL33" s="1692">
        <f>AL34+AL39+AL40+AL41</f>
        <v>0</v>
      </c>
      <c r="AM33" s="1692">
        <f>AM34+AM39+AM40+AM41</f>
        <v>0</v>
      </c>
      <c r="AN33" s="1692">
        <f>AN34+AN39+AN40+AN41</f>
        <v>0</v>
      </c>
      <c r="AO33" s="1693">
        <f>AO34+AO39+AO40+AO41</f>
        <v>0</v>
      </c>
      <c r="AP33" s="1695">
        <f>AP35+AP39+AP40+AP41</f>
        <v>0</v>
      </c>
      <c r="AQ33" s="1692">
        <f>AQ34+AQ39+AQ40+AQ41</f>
        <v>0</v>
      </c>
      <c r="AR33" s="1692">
        <f>AR34+AR39+AR40+AR41</f>
        <v>0</v>
      </c>
      <c r="AS33" s="1692">
        <f>AS34+AS39+AS40+AS41</f>
        <v>0</v>
      </c>
      <c r="AT33" s="1693">
        <f>AT34+AT39+AT40+AT41</f>
        <v>0</v>
      </c>
      <c r="AU33" s="1695">
        <f>AU35+AU39+AU40+AU41</f>
        <v>0</v>
      </c>
      <c r="AV33" s="1692">
        <f>AV34+AV39+AV40+AV41</f>
        <v>0</v>
      </c>
      <c r="AW33" s="1692">
        <f>AW34+AW39+AW40+AW41</f>
        <v>0</v>
      </c>
      <c r="AX33" s="1692">
        <f>AX34+AX39+AX40+AX41</f>
        <v>0</v>
      </c>
      <c r="AY33" s="1693">
        <f>AY34+AY39+AY40+AY41</f>
        <v>0</v>
      </c>
    </row>
    <row r="34" spans="1:51">
      <c r="A34" s="1685"/>
      <c r="B34" s="1697" t="s">
        <v>267</v>
      </c>
      <c r="C34" s="1526" t="s">
        <v>2027</v>
      </c>
      <c r="D34" s="1589" t="s">
        <v>241</v>
      </c>
      <c r="E34" s="1701">
        <f>SUM(F34:I34)</f>
        <v>0</v>
      </c>
      <c r="F34" s="1699">
        <f>SUM(F35:F38)</f>
        <v>0</v>
      </c>
      <c r="G34" s="1699">
        <f t="shared" ref="G34:I34" si="76">SUM(G35:G38)</f>
        <v>0</v>
      </c>
      <c r="H34" s="1699">
        <f t="shared" si="76"/>
        <v>0</v>
      </c>
      <c r="I34" s="1700">
        <f t="shared" si="76"/>
        <v>0</v>
      </c>
      <c r="J34" s="1701">
        <f>SUM(K34:N34)</f>
        <v>0</v>
      </c>
      <c r="K34" s="1699">
        <f>SUM(K35:K38)</f>
        <v>0</v>
      </c>
      <c r="L34" s="1699">
        <f t="shared" ref="L34:N34" si="77">SUM(L35:L38)</f>
        <v>0</v>
      </c>
      <c r="M34" s="1699">
        <f t="shared" si="77"/>
        <v>0</v>
      </c>
      <c r="N34" s="1700">
        <f t="shared" si="77"/>
        <v>0</v>
      </c>
      <c r="O34" s="1701">
        <f>SUM(P34:S34)</f>
        <v>0</v>
      </c>
      <c r="P34" s="1699">
        <f>SUM(P35:P38)</f>
        <v>0</v>
      </c>
      <c r="Q34" s="1699">
        <f t="shared" ref="Q34:S34" si="78">SUM(Q35:Q38)</f>
        <v>0</v>
      </c>
      <c r="R34" s="1699">
        <f t="shared" si="78"/>
        <v>0</v>
      </c>
      <c r="S34" s="1700">
        <f t="shared" si="78"/>
        <v>0</v>
      </c>
      <c r="T34" s="1686"/>
      <c r="U34" s="1701">
        <f>SUM(V34:Y34)</f>
        <v>0</v>
      </c>
      <c r="V34" s="1699">
        <f>SUM(V35:V38)</f>
        <v>0</v>
      </c>
      <c r="W34" s="1699">
        <f t="shared" ref="W34:Y34" si="79">SUM(W35:W38)</f>
        <v>0</v>
      </c>
      <c r="X34" s="1699">
        <f t="shared" si="79"/>
        <v>0</v>
      </c>
      <c r="Y34" s="1700">
        <f t="shared" si="79"/>
        <v>0</v>
      </c>
      <c r="Z34" s="1701">
        <f>SUM(AA34:AD34)</f>
        <v>0</v>
      </c>
      <c r="AA34" s="1699">
        <f>SUM(AA35:AA38)</f>
        <v>0</v>
      </c>
      <c r="AB34" s="1699">
        <f t="shared" ref="AB34:AD34" si="80">SUM(AB35:AB38)</f>
        <v>0</v>
      </c>
      <c r="AC34" s="1699">
        <f t="shared" si="80"/>
        <v>0</v>
      </c>
      <c r="AD34" s="1700">
        <f t="shared" si="80"/>
        <v>0</v>
      </c>
      <c r="AE34" s="1701">
        <f>SUM(AF34:AI34)</f>
        <v>0</v>
      </c>
      <c r="AF34" s="1699">
        <f>SUM(AF35:AF38)</f>
        <v>0</v>
      </c>
      <c r="AG34" s="1699">
        <f t="shared" ref="AG34:AI34" si="81">SUM(AG35:AG38)</f>
        <v>0</v>
      </c>
      <c r="AH34" s="1699">
        <f t="shared" si="81"/>
        <v>0</v>
      </c>
      <c r="AI34" s="1700">
        <f t="shared" si="81"/>
        <v>0</v>
      </c>
      <c r="AJ34" s="1686"/>
      <c r="AK34" s="1701">
        <f>SUM(AL34:AO34)</f>
        <v>0</v>
      </c>
      <c r="AL34" s="1699">
        <f>SUM(AL35:AL38)</f>
        <v>0</v>
      </c>
      <c r="AM34" s="1699">
        <f t="shared" ref="AM34:AO34" si="82">SUM(AM35:AM38)</f>
        <v>0</v>
      </c>
      <c r="AN34" s="1699">
        <f t="shared" si="82"/>
        <v>0</v>
      </c>
      <c r="AO34" s="1700">
        <f t="shared" si="82"/>
        <v>0</v>
      </c>
      <c r="AP34" s="1701">
        <f>SUM(AQ34:AT34)</f>
        <v>0</v>
      </c>
      <c r="AQ34" s="1699">
        <f>SUM(AQ35:AQ38)</f>
        <v>0</v>
      </c>
      <c r="AR34" s="1699">
        <f t="shared" ref="AR34:AT34" si="83">SUM(AR35:AR38)</f>
        <v>0</v>
      </c>
      <c r="AS34" s="1699">
        <f t="shared" si="83"/>
        <v>0</v>
      </c>
      <c r="AT34" s="1700">
        <f t="shared" si="83"/>
        <v>0</v>
      </c>
      <c r="AU34" s="1701">
        <f>SUM(AV34:AY34)</f>
        <v>0</v>
      </c>
      <c r="AV34" s="1699">
        <f>SUM(AV35:AV38)</f>
        <v>0</v>
      </c>
      <c r="AW34" s="1699">
        <f t="shared" ref="AW34:AY34" si="84">SUM(AW35:AW38)</f>
        <v>0</v>
      </c>
      <c r="AX34" s="1699">
        <f t="shared" si="84"/>
        <v>0</v>
      </c>
      <c r="AY34" s="1700">
        <f t="shared" si="84"/>
        <v>0</v>
      </c>
    </row>
    <row r="35" spans="1:51">
      <c r="A35" s="1685"/>
      <c r="B35" s="1697" t="s">
        <v>319</v>
      </c>
      <c r="C35" s="1702" t="s">
        <v>2028</v>
      </c>
      <c r="D35" s="1589" t="s">
        <v>241</v>
      </c>
      <c r="E35" s="1701">
        <f>SUM(F35:I35)</f>
        <v>0</v>
      </c>
      <c r="F35" s="1531"/>
      <c r="G35" s="1531"/>
      <c r="H35" s="1531"/>
      <c r="I35" s="1703"/>
      <c r="J35" s="1701">
        <f>SUM(K35:N35)</f>
        <v>0</v>
      </c>
      <c r="K35" s="1531"/>
      <c r="L35" s="1531"/>
      <c r="M35" s="1531"/>
      <c r="N35" s="1703"/>
      <c r="O35" s="1701">
        <f>SUM(P35:S35)</f>
        <v>0</v>
      </c>
      <c r="P35" s="1699">
        <f>SUM(K35/2,F35/2)</f>
        <v>0</v>
      </c>
      <c r="Q35" s="1699">
        <f t="shared" ref="Q35:S35" si="85">SUM(L35/2,G35/2)</f>
        <v>0</v>
      </c>
      <c r="R35" s="1699">
        <f t="shared" si="85"/>
        <v>0</v>
      </c>
      <c r="S35" s="1700">
        <f t="shared" si="85"/>
        <v>0</v>
      </c>
      <c r="T35" s="1686"/>
      <c r="U35" s="1701">
        <f>SUM(V35:Y35)</f>
        <v>0</v>
      </c>
      <c r="V35" s="1531"/>
      <c r="W35" s="1531"/>
      <c r="X35" s="1531"/>
      <c r="Y35" s="1703"/>
      <c r="Z35" s="1701">
        <f>SUM(AA35:AD35)</f>
        <v>0</v>
      </c>
      <c r="AA35" s="1531"/>
      <c r="AB35" s="1531"/>
      <c r="AC35" s="1531"/>
      <c r="AD35" s="1703"/>
      <c r="AE35" s="1701">
        <f>SUM(AF35:AI35)</f>
        <v>0</v>
      </c>
      <c r="AF35" s="1699">
        <f>SUM(AA35/2,V35/2)</f>
        <v>0</v>
      </c>
      <c r="AG35" s="1699">
        <f t="shared" ref="AG35" si="86">SUM(AB35/2,W35/2)</f>
        <v>0</v>
      </c>
      <c r="AH35" s="1699">
        <f t="shared" ref="AH35" si="87">SUM(AC35/2,X35/2)</f>
        <v>0</v>
      </c>
      <c r="AI35" s="1700">
        <f t="shared" ref="AI35" si="88">SUM(AD35/2,Y35/2)</f>
        <v>0</v>
      </c>
      <c r="AJ35" s="1686"/>
      <c r="AK35" s="1701">
        <f>SUM(AL35:AO35)</f>
        <v>0</v>
      </c>
      <c r="AL35" s="1531"/>
      <c r="AM35" s="1531"/>
      <c r="AN35" s="1531"/>
      <c r="AO35" s="1703"/>
      <c r="AP35" s="1701">
        <f>SUM(AQ35:AT35)</f>
        <v>0</v>
      </c>
      <c r="AQ35" s="1531"/>
      <c r="AR35" s="1531"/>
      <c r="AS35" s="1531"/>
      <c r="AT35" s="1703"/>
      <c r="AU35" s="1701">
        <f>SUM(AV35:AY35)</f>
        <v>0</v>
      </c>
      <c r="AV35" s="1699">
        <f>SUM(AQ35/2,AL35/2)</f>
        <v>0</v>
      </c>
      <c r="AW35" s="1699">
        <f t="shared" ref="AW35" si="89">SUM(AR35/2,AM35/2)</f>
        <v>0</v>
      </c>
      <c r="AX35" s="1699">
        <f t="shared" ref="AX35" si="90">SUM(AS35/2,AN35/2)</f>
        <v>0</v>
      </c>
      <c r="AY35" s="1700">
        <f t="shared" ref="AY35" si="91">SUM(AT35/2,AO35/2)</f>
        <v>0</v>
      </c>
    </row>
    <row r="36" spans="1:51">
      <c r="A36" s="1685"/>
      <c r="B36" s="1697" t="s">
        <v>321</v>
      </c>
      <c r="C36" s="1702" t="s">
        <v>168</v>
      </c>
      <c r="D36" s="1589" t="s">
        <v>241</v>
      </c>
      <c r="E36" s="1697"/>
      <c r="F36" s="1529"/>
      <c r="G36" s="1706">
        <f>G42+G44+G45+H37+I37-G35-G39-G40-G41</f>
        <v>0</v>
      </c>
      <c r="H36" s="1706">
        <f>H42+H44+H45+I38-H37-H39-H40-H41-H35</f>
        <v>0</v>
      </c>
      <c r="I36" s="1528"/>
      <c r="J36" s="1697"/>
      <c r="K36" s="1529"/>
      <c r="L36" s="1706">
        <f>L42+L44+L45+M37+N37-L35-L39-L40-L41</f>
        <v>0</v>
      </c>
      <c r="M36" s="1706">
        <f>M42+M44+M45+N38-M37-M39-M40-M41-M35</f>
        <v>0</v>
      </c>
      <c r="N36" s="1528"/>
      <c r="O36" s="1697"/>
      <c r="P36" s="1529"/>
      <c r="Q36" s="1699">
        <f>Q42+Q44+Q45+R37+S37-Q35-Q39-Q40-Q41</f>
        <v>0</v>
      </c>
      <c r="R36" s="1699">
        <f>R42+R44+R45+S38-R37-R39-R40-R41-R35</f>
        <v>0</v>
      </c>
      <c r="S36" s="1528"/>
      <c r="T36" s="1686"/>
      <c r="U36" s="1697"/>
      <c r="V36" s="1529"/>
      <c r="W36" s="1706">
        <f>W42+W44+W45+X37+Y37-W35-W39-W40-W41</f>
        <v>0</v>
      </c>
      <c r="X36" s="1706">
        <f>X42+X44+X45+Y38-X37-X39-X40-X41-X35</f>
        <v>0</v>
      </c>
      <c r="Y36" s="1528"/>
      <c r="Z36" s="1697"/>
      <c r="AA36" s="1529"/>
      <c r="AB36" s="1706">
        <f>AB42+AB44+AB45+AC37+AD37-AB35-AB39-AB40-AB41</f>
        <v>0</v>
      </c>
      <c r="AC36" s="1706">
        <f>AC42+AC44+AC45+AD38-AC37-AC39-AC40-AC41-AC35</f>
        <v>0</v>
      </c>
      <c r="AD36" s="1528"/>
      <c r="AE36" s="1697"/>
      <c r="AF36" s="1529"/>
      <c r="AG36" s="1699">
        <f>AG42+AG44+AG45+AH37+AI37-AG35-AG39-AG40-AG41</f>
        <v>0</v>
      </c>
      <c r="AH36" s="1699">
        <f>AH42+AH44+AH45+AI38-AH37-AH39-AH40-AH41-AH35</f>
        <v>0</v>
      </c>
      <c r="AI36" s="1528"/>
      <c r="AJ36" s="1686"/>
      <c r="AK36" s="1697"/>
      <c r="AL36" s="1529"/>
      <c r="AM36" s="1706">
        <f>AM42+AM44+AM45+AN37+AO37-AM35-AM39-AM40-AM41</f>
        <v>0</v>
      </c>
      <c r="AN36" s="1706">
        <f>AN42+AN44+AN45+AO38-AN37-AN39-AN40-AN41-AN35</f>
        <v>0</v>
      </c>
      <c r="AO36" s="1528"/>
      <c r="AP36" s="1697"/>
      <c r="AQ36" s="1529"/>
      <c r="AR36" s="1706">
        <f>AR42+AR44+AR45+AS37+AT37-AR35-AR39-AR40-AR41</f>
        <v>0</v>
      </c>
      <c r="AS36" s="1706">
        <f>AS42+AS44+AS45+AT38-AS37-AS39-AS40-AS41-AS35</f>
        <v>0</v>
      </c>
      <c r="AT36" s="1528"/>
      <c r="AU36" s="1697"/>
      <c r="AV36" s="1529"/>
      <c r="AW36" s="1699">
        <f>AW42+AW44+AW45+AX37+AY37-AW35-AW39-AW40-AW41</f>
        <v>0</v>
      </c>
      <c r="AX36" s="1699">
        <f>AX42+AX44+AX45+AY38-AX37-AX39-AX40-AX41-AX35</f>
        <v>0</v>
      </c>
      <c r="AY36" s="1528"/>
    </row>
    <row r="37" spans="1:51">
      <c r="A37" s="1685"/>
      <c r="B37" s="1697" t="s">
        <v>1122</v>
      </c>
      <c r="C37" s="1702" t="s">
        <v>208</v>
      </c>
      <c r="D37" s="1589" t="s">
        <v>241</v>
      </c>
      <c r="E37" s="1697"/>
      <c r="F37" s="1529"/>
      <c r="G37" s="1529"/>
      <c r="H37" s="1531"/>
      <c r="I37" s="1703"/>
      <c r="J37" s="1697"/>
      <c r="K37" s="1529"/>
      <c r="L37" s="1529"/>
      <c r="M37" s="1531"/>
      <c r="N37" s="1703"/>
      <c r="O37" s="1697"/>
      <c r="P37" s="1529"/>
      <c r="Q37" s="1529"/>
      <c r="R37" s="1699">
        <f t="shared" ref="R37:S37" si="92">SUM(M37/2,H37/2)</f>
        <v>0</v>
      </c>
      <c r="S37" s="1700">
        <f t="shared" si="92"/>
        <v>0</v>
      </c>
      <c r="T37" s="1686"/>
      <c r="U37" s="1697"/>
      <c r="V37" s="1529"/>
      <c r="W37" s="1529"/>
      <c r="X37" s="1531"/>
      <c r="Y37" s="1703"/>
      <c r="Z37" s="1697"/>
      <c r="AA37" s="1529"/>
      <c r="AB37" s="1529"/>
      <c r="AC37" s="1531"/>
      <c r="AD37" s="1703"/>
      <c r="AE37" s="1697"/>
      <c r="AF37" s="1529"/>
      <c r="AG37" s="1529"/>
      <c r="AH37" s="1699">
        <f t="shared" ref="AH37" si="93">SUM(AC37/2,X37/2)</f>
        <v>0</v>
      </c>
      <c r="AI37" s="1700">
        <f t="shared" ref="AI37" si="94">SUM(AD37/2,Y37/2)</f>
        <v>0</v>
      </c>
      <c r="AJ37" s="1686"/>
      <c r="AK37" s="1697"/>
      <c r="AL37" s="1529"/>
      <c r="AM37" s="1529"/>
      <c r="AN37" s="1531"/>
      <c r="AO37" s="1703"/>
      <c r="AP37" s="1697"/>
      <c r="AQ37" s="1529"/>
      <c r="AR37" s="1529"/>
      <c r="AS37" s="1531"/>
      <c r="AT37" s="1703"/>
      <c r="AU37" s="1697"/>
      <c r="AV37" s="1529"/>
      <c r="AW37" s="1529"/>
      <c r="AX37" s="1699">
        <f t="shared" ref="AX37" si="95">SUM(AS37/2,AN37/2)</f>
        <v>0</v>
      </c>
      <c r="AY37" s="1700">
        <f t="shared" ref="AY37" si="96">SUM(AT37/2,AO37/2)</f>
        <v>0</v>
      </c>
    </row>
    <row r="38" spans="1:51">
      <c r="A38" s="1685"/>
      <c r="B38" s="1697" t="s">
        <v>2029</v>
      </c>
      <c r="C38" s="1702" t="s">
        <v>209</v>
      </c>
      <c r="D38" s="1589" t="s">
        <v>241</v>
      </c>
      <c r="E38" s="1697"/>
      <c r="F38" s="1529"/>
      <c r="G38" s="1529"/>
      <c r="H38" s="1529"/>
      <c r="I38" s="1710">
        <f>I42+I44+I45-I37-I35-I41-I40-I39</f>
        <v>0</v>
      </c>
      <c r="J38" s="1697"/>
      <c r="K38" s="1529"/>
      <c r="L38" s="1529"/>
      <c r="M38" s="1529"/>
      <c r="N38" s="1710">
        <f>N42+N44+N45-N37-N35-N41-N40-N39</f>
        <v>0</v>
      </c>
      <c r="O38" s="1697"/>
      <c r="P38" s="1529"/>
      <c r="Q38" s="1529"/>
      <c r="R38" s="1529"/>
      <c r="S38" s="1700">
        <f>S42+S44+S45-S37-S35-S41-S40-S39</f>
        <v>0</v>
      </c>
      <c r="T38" s="1686"/>
      <c r="U38" s="1697"/>
      <c r="V38" s="1529"/>
      <c r="W38" s="1529"/>
      <c r="X38" s="1529"/>
      <c r="Y38" s="1710">
        <f>Y42+Y44+Y45-Y37-Y35-Y41-Y40-Y39</f>
        <v>0</v>
      </c>
      <c r="Z38" s="1697"/>
      <c r="AA38" s="1529"/>
      <c r="AB38" s="1529"/>
      <c r="AC38" s="1529"/>
      <c r="AD38" s="1710">
        <f>AD42+AD44+AD45-AD37-AD35-AD41-AD40-AD39</f>
        <v>0</v>
      </c>
      <c r="AE38" s="1697"/>
      <c r="AF38" s="1529"/>
      <c r="AG38" s="1529"/>
      <c r="AH38" s="1529"/>
      <c r="AI38" s="1700">
        <f>AI42+AI44+AI45-AI37-AI35-AI41-AI40-AI39</f>
        <v>0</v>
      </c>
      <c r="AJ38" s="1686"/>
      <c r="AK38" s="1697"/>
      <c r="AL38" s="1529"/>
      <c r="AM38" s="1529"/>
      <c r="AN38" s="1529"/>
      <c r="AO38" s="1710">
        <f>AO42+AO44+AO45-AO37-AO35-AO41-AO40-AO39</f>
        <v>0</v>
      </c>
      <c r="AP38" s="1697"/>
      <c r="AQ38" s="1529"/>
      <c r="AR38" s="1529"/>
      <c r="AS38" s="1529"/>
      <c r="AT38" s="1710">
        <f>AT42+AT44+AT45-AT37-AT35-AT41-AT40-AT39</f>
        <v>0</v>
      </c>
      <c r="AU38" s="1697"/>
      <c r="AV38" s="1529"/>
      <c r="AW38" s="1529"/>
      <c r="AX38" s="1529"/>
      <c r="AY38" s="1700">
        <f>AY42+AY44+AY45-AY37-AY35-AY41-AY40-AY39</f>
        <v>0</v>
      </c>
    </row>
    <row r="39" spans="1:51">
      <c r="A39" s="1685"/>
      <c r="B39" s="1697" t="s">
        <v>269</v>
      </c>
      <c r="C39" s="1526" t="s">
        <v>2030</v>
      </c>
      <c r="D39" s="1589" t="s">
        <v>241</v>
      </c>
      <c r="E39" s="1701">
        <f t="shared" ref="E39:E42" si="97">SUM(F39:I39)</f>
        <v>0</v>
      </c>
      <c r="F39" s="1531"/>
      <c r="G39" s="1531"/>
      <c r="H39" s="1531"/>
      <c r="I39" s="1703"/>
      <c r="J39" s="1701">
        <f t="shared" ref="J39:J42" si="98">SUM(K39:N39)</f>
        <v>0</v>
      </c>
      <c r="K39" s="1531"/>
      <c r="L39" s="1531"/>
      <c r="M39" s="1531"/>
      <c r="N39" s="1703"/>
      <c r="O39" s="1701">
        <f t="shared" ref="O39:O42" si="99">SUM(P39:S39)</f>
        <v>0</v>
      </c>
      <c r="P39" s="1699">
        <f t="shared" ref="P39:S42" si="100">SUM(K39/2,F39/2)</f>
        <v>0</v>
      </c>
      <c r="Q39" s="1699">
        <f t="shared" si="100"/>
        <v>0</v>
      </c>
      <c r="R39" s="1699">
        <f t="shared" si="100"/>
        <v>0</v>
      </c>
      <c r="S39" s="1700">
        <f t="shared" si="100"/>
        <v>0</v>
      </c>
      <c r="T39" s="1686"/>
      <c r="U39" s="1701">
        <f t="shared" ref="U39:U42" si="101">SUM(V39:Y39)</f>
        <v>0</v>
      </c>
      <c r="V39" s="1531"/>
      <c r="W39" s="1531"/>
      <c r="X39" s="1531"/>
      <c r="Y39" s="1703"/>
      <c r="Z39" s="1701">
        <f t="shared" ref="Z39:Z42" si="102">SUM(AA39:AD39)</f>
        <v>0</v>
      </c>
      <c r="AA39" s="1531"/>
      <c r="AB39" s="1531"/>
      <c r="AC39" s="1531"/>
      <c r="AD39" s="1703"/>
      <c r="AE39" s="1701">
        <f t="shared" ref="AE39:AE42" si="103">SUM(AF39:AI39)</f>
        <v>0</v>
      </c>
      <c r="AF39" s="1699">
        <f t="shared" ref="AF39:AF40" si="104">SUM(AA39/2,V39/2)</f>
        <v>0</v>
      </c>
      <c r="AG39" s="1699">
        <f t="shared" ref="AG39:AG42" si="105">SUM(AB39/2,W39/2)</f>
        <v>0</v>
      </c>
      <c r="AH39" s="1699">
        <f t="shared" ref="AH39:AH42" si="106">SUM(AC39/2,X39/2)</f>
        <v>0</v>
      </c>
      <c r="AI39" s="1700">
        <f t="shared" ref="AI39:AI42" si="107">SUM(AD39/2,Y39/2)</f>
        <v>0</v>
      </c>
      <c r="AJ39" s="1686"/>
      <c r="AK39" s="1701">
        <f t="shared" ref="AK39:AK42" si="108">SUM(AL39:AO39)</f>
        <v>0</v>
      </c>
      <c r="AL39" s="1531"/>
      <c r="AM39" s="1531"/>
      <c r="AN39" s="1531"/>
      <c r="AO39" s="1703"/>
      <c r="AP39" s="1701">
        <f t="shared" ref="AP39:AP42" si="109">SUM(AQ39:AT39)</f>
        <v>0</v>
      </c>
      <c r="AQ39" s="1531"/>
      <c r="AR39" s="1531"/>
      <c r="AS39" s="1531"/>
      <c r="AT39" s="1703"/>
      <c r="AU39" s="1701">
        <f t="shared" ref="AU39:AU42" si="110">SUM(AV39:AY39)</f>
        <v>0</v>
      </c>
      <c r="AV39" s="1699">
        <f t="shared" ref="AV39:AV40" si="111">SUM(AQ39/2,AL39/2)</f>
        <v>0</v>
      </c>
      <c r="AW39" s="1699">
        <f t="shared" ref="AW39:AW42" si="112">SUM(AR39/2,AM39/2)</f>
        <v>0</v>
      </c>
      <c r="AX39" s="1699">
        <f t="shared" ref="AX39:AX42" si="113">SUM(AS39/2,AN39/2)</f>
        <v>0</v>
      </c>
      <c r="AY39" s="1700">
        <f t="shared" ref="AY39:AY42" si="114">SUM(AT39/2,AO39/2)</f>
        <v>0</v>
      </c>
    </row>
    <row r="40" spans="1:51">
      <c r="A40" s="1685"/>
      <c r="B40" s="1697" t="s">
        <v>270</v>
      </c>
      <c r="C40" s="1526" t="s">
        <v>2031</v>
      </c>
      <c r="D40" s="1589" t="s">
        <v>241</v>
      </c>
      <c r="E40" s="1701">
        <f t="shared" si="97"/>
        <v>0</v>
      </c>
      <c r="F40" s="1531"/>
      <c r="G40" s="1531"/>
      <c r="H40" s="1531"/>
      <c r="I40" s="1703"/>
      <c r="J40" s="1701">
        <f t="shared" si="98"/>
        <v>0</v>
      </c>
      <c r="K40" s="1531"/>
      <c r="L40" s="1531"/>
      <c r="M40" s="1531"/>
      <c r="N40" s="1703"/>
      <c r="O40" s="1701">
        <f t="shared" si="99"/>
        <v>0</v>
      </c>
      <c r="P40" s="1699">
        <f t="shared" si="100"/>
        <v>0</v>
      </c>
      <c r="Q40" s="1699">
        <f t="shared" si="100"/>
        <v>0</v>
      </c>
      <c r="R40" s="1699">
        <f t="shared" si="100"/>
        <v>0</v>
      </c>
      <c r="S40" s="1700">
        <f t="shared" si="100"/>
        <v>0</v>
      </c>
      <c r="T40" s="1686"/>
      <c r="U40" s="1701">
        <f t="shared" si="101"/>
        <v>0</v>
      </c>
      <c r="V40" s="1531"/>
      <c r="W40" s="1531"/>
      <c r="X40" s="1531"/>
      <c r="Y40" s="1703"/>
      <c r="Z40" s="1701">
        <f t="shared" si="102"/>
        <v>0</v>
      </c>
      <c r="AA40" s="1531"/>
      <c r="AB40" s="1531"/>
      <c r="AC40" s="1531"/>
      <c r="AD40" s="1703"/>
      <c r="AE40" s="1701">
        <f t="shared" si="103"/>
        <v>0</v>
      </c>
      <c r="AF40" s="1699">
        <f t="shared" si="104"/>
        <v>0</v>
      </c>
      <c r="AG40" s="1699">
        <f t="shared" si="105"/>
        <v>0</v>
      </c>
      <c r="AH40" s="1699">
        <f t="shared" si="106"/>
        <v>0</v>
      </c>
      <c r="AI40" s="1700">
        <f t="shared" si="107"/>
        <v>0</v>
      </c>
      <c r="AJ40" s="1686"/>
      <c r="AK40" s="1701">
        <f t="shared" si="108"/>
        <v>0</v>
      </c>
      <c r="AL40" s="1531"/>
      <c r="AM40" s="1531"/>
      <c r="AN40" s="1531"/>
      <c r="AO40" s="1703"/>
      <c r="AP40" s="1701">
        <f t="shared" si="109"/>
        <v>0</v>
      </c>
      <c r="AQ40" s="1531"/>
      <c r="AR40" s="1531"/>
      <c r="AS40" s="1531"/>
      <c r="AT40" s="1703"/>
      <c r="AU40" s="1701">
        <f t="shared" si="110"/>
        <v>0</v>
      </c>
      <c r="AV40" s="1699">
        <f t="shared" si="111"/>
        <v>0</v>
      </c>
      <c r="AW40" s="1699">
        <f t="shared" si="112"/>
        <v>0</v>
      </c>
      <c r="AX40" s="1699">
        <f t="shared" si="113"/>
        <v>0</v>
      </c>
      <c r="AY40" s="1700">
        <f t="shared" si="114"/>
        <v>0</v>
      </c>
    </row>
    <row r="41" spans="1:51">
      <c r="A41" s="1685"/>
      <c r="B41" s="1697" t="s">
        <v>286</v>
      </c>
      <c r="C41" s="1526" t="s">
        <v>2032</v>
      </c>
      <c r="D41" s="1589" t="s">
        <v>241</v>
      </c>
      <c r="E41" s="1701">
        <f t="shared" si="97"/>
        <v>0</v>
      </c>
      <c r="F41" s="1706">
        <f>E42+E44+E45-E39-E40-G41-H41-I41</f>
        <v>0</v>
      </c>
      <c r="G41" s="1531"/>
      <c r="H41" s="1531"/>
      <c r="I41" s="1703"/>
      <c r="J41" s="1701">
        <f t="shared" si="98"/>
        <v>0</v>
      </c>
      <c r="K41" s="1706">
        <f>J42+J44+J45-J39-J40-L41-M41-N41</f>
        <v>0</v>
      </c>
      <c r="L41" s="1531"/>
      <c r="M41" s="1531"/>
      <c r="N41" s="1703"/>
      <c r="O41" s="1701">
        <f t="shared" si="99"/>
        <v>0</v>
      </c>
      <c r="P41" s="1699">
        <f>O42+O44+O45-O39-O40-Q41-R41-S41</f>
        <v>0</v>
      </c>
      <c r="Q41" s="1699">
        <f t="shared" si="100"/>
        <v>0</v>
      </c>
      <c r="R41" s="1699">
        <f t="shared" si="100"/>
        <v>0</v>
      </c>
      <c r="S41" s="1700">
        <f t="shared" si="100"/>
        <v>0</v>
      </c>
      <c r="T41" s="1686"/>
      <c r="U41" s="1701">
        <f t="shared" si="101"/>
        <v>0</v>
      </c>
      <c r="V41" s="1706">
        <f>U42+U44+U45-U39-U40-W41-X41-Y41</f>
        <v>0</v>
      </c>
      <c r="W41" s="1531"/>
      <c r="X41" s="1531"/>
      <c r="Y41" s="1703"/>
      <c r="Z41" s="1701">
        <f t="shared" si="102"/>
        <v>0</v>
      </c>
      <c r="AA41" s="1706">
        <f>Z42+Z44+Z45-Z39-Z40-AB41-AC41-AD41</f>
        <v>0</v>
      </c>
      <c r="AB41" s="1531"/>
      <c r="AC41" s="1531"/>
      <c r="AD41" s="1703"/>
      <c r="AE41" s="1701">
        <f t="shared" si="103"/>
        <v>0</v>
      </c>
      <c r="AF41" s="1699">
        <f>AE42+AE44+AE45-AE39-AE40-AG41-AH41-AI41</f>
        <v>0</v>
      </c>
      <c r="AG41" s="1699">
        <f t="shared" si="105"/>
        <v>0</v>
      </c>
      <c r="AH41" s="1699">
        <f t="shared" si="106"/>
        <v>0</v>
      </c>
      <c r="AI41" s="1700">
        <f t="shared" si="107"/>
        <v>0</v>
      </c>
      <c r="AJ41" s="1686"/>
      <c r="AK41" s="1701">
        <f t="shared" si="108"/>
        <v>0</v>
      </c>
      <c r="AL41" s="1706">
        <f>AK42+AK44+AK45-AK39-AK40-AM41-AN41-AO41</f>
        <v>0</v>
      </c>
      <c r="AM41" s="1531"/>
      <c r="AN41" s="1531"/>
      <c r="AO41" s="1703"/>
      <c r="AP41" s="1701">
        <f t="shared" si="109"/>
        <v>0</v>
      </c>
      <c r="AQ41" s="1706">
        <f>AP42+AP44+AP45-AP39-AP40-AR41-AS41-AT41</f>
        <v>0</v>
      </c>
      <c r="AR41" s="1531"/>
      <c r="AS41" s="1531"/>
      <c r="AT41" s="1703"/>
      <c r="AU41" s="1701">
        <f t="shared" si="110"/>
        <v>0</v>
      </c>
      <c r="AV41" s="1699">
        <f>AU42+AU44+AU45-AU39-AU40-AW41-AX41-AY41</f>
        <v>0</v>
      </c>
      <c r="AW41" s="1699">
        <f t="shared" si="112"/>
        <v>0</v>
      </c>
      <c r="AX41" s="1699">
        <f t="shared" si="113"/>
        <v>0</v>
      </c>
      <c r="AY41" s="1700">
        <f t="shared" si="114"/>
        <v>0</v>
      </c>
    </row>
    <row r="42" spans="1:51" ht="15.75">
      <c r="A42" s="1685"/>
      <c r="B42" s="1523" t="s">
        <v>237</v>
      </c>
      <c r="C42" s="1521" t="s">
        <v>2040</v>
      </c>
      <c r="D42" s="1711" t="s">
        <v>241</v>
      </c>
      <c r="E42" s="1713">
        <f t="shared" si="97"/>
        <v>0</v>
      </c>
      <c r="F42" s="1708"/>
      <c r="G42" s="1708"/>
      <c r="H42" s="1708"/>
      <c r="I42" s="1709"/>
      <c r="J42" s="1713">
        <f t="shared" si="98"/>
        <v>0</v>
      </c>
      <c r="K42" s="1708"/>
      <c r="L42" s="1708"/>
      <c r="M42" s="1708"/>
      <c r="N42" s="1709"/>
      <c r="O42" s="1713">
        <f t="shared" si="99"/>
        <v>0</v>
      </c>
      <c r="P42" s="1699">
        <f t="shared" ref="P42" si="115">SUM(K42/2,F42/2)</f>
        <v>0</v>
      </c>
      <c r="Q42" s="1699">
        <f t="shared" si="100"/>
        <v>0</v>
      </c>
      <c r="R42" s="1699">
        <f t="shared" si="100"/>
        <v>0</v>
      </c>
      <c r="S42" s="1700">
        <f t="shared" si="100"/>
        <v>0</v>
      </c>
      <c r="T42" s="1686"/>
      <c r="U42" s="1713">
        <f t="shared" si="101"/>
        <v>0</v>
      </c>
      <c r="V42" s="1708"/>
      <c r="W42" s="1708"/>
      <c r="X42" s="1708"/>
      <c r="Y42" s="1709"/>
      <c r="Z42" s="1713">
        <f t="shared" si="102"/>
        <v>0</v>
      </c>
      <c r="AA42" s="1708"/>
      <c r="AB42" s="1708"/>
      <c r="AC42" s="1708"/>
      <c r="AD42" s="1709"/>
      <c r="AE42" s="1713">
        <f t="shared" si="103"/>
        <v>0</v>
      </c>
      <c r="AF42" s="1699">
        <f t="shared" ref="AF42" si="116">SUM(AA42/2,V42/2)</f>
        <v>0</v>
      </c>
      <c r="AG42" s="1699">
        <f t="shared" si="105"/>
        <v>0</v>
      </c>
      <c r="AH42" s="1699">
        <f t="shared" si="106"/>
        <v>0</v>
      </c>
      <c r="AI42" s="1700">
        <f t="shared" si="107"/>
        <v>0</v>
      </c>
      <c r="AJ42" s="1686"/>
      <c r="AK42" s="1713">
        <f t="shared" si="108"/>
        <v>0</v>
      </c>
      <c r="AL42" s="1708"/>
      <c r="AM42" s="1708"/>
      <c r="AN42" s="1708"/>
      <c r="AO42" s="1709"/>
      <c r="AP42" s="1713">
        <f t="shared" si="109"/>
        <v>0</v>
      </c>
      <c r="AQ42" s="1708"/>
      <c r="AR42" s="1708"/>
      <c r="AS42" s="1708"/>
      <c r="AT42" s="1709"/>
      <c r="AU42" s="1713">
        <f t="shared" si="110"/>
        <v>0</v>
      </c>
      <c r="AV42" s="1699">
        <f t="shared" ref="AV42" si="117">SUM(AQ42/2,AL42/2)</f>
        <v>0</v>
      </c>
      <c r="AW42" s="1699">
        <f t="shared" si="112"/>
        <v>0</v>
      </c>
      <c r="AX42" s="1699">
        <f t="shared" si="113"/>
        <v>0</v>
      </c>
      <c r="AY42" s="1700">
        <f t="shared" si="114"/>
        <v>0</v>
      </c>
    </row>
    <row r="43" spans="1:51" ht="15.75">
      <c r="A43" s="1685"/>
      <c r="B43" s="1523" t="s">
        <v>520</v>
      </c>
      <c r="C43" s="1521" t="s">
        <v>2034</v>
      </c>
      <c r="D43" s="1711" t="s">
        <v>268</v>
      </c>
      <c r="E43" s="1713">
        <f t="shared" ref="E43:S43" si="118">IF(E33=0,0,E42/E33*100)</f>
        <v>0</v>
      </c>
      <c r="F43" s="1713">
        <f t="shared" si="118"/>
        <v>0</v>
      </c>
      <c r="G43" s="1713">
        <f t="shared" si="118"/>
        <v>0</v>
      </c>
      <c r="H43" s="1713">
        <f t="shared" si="118"/>
        <v>0</v>
      </c>
      <c r="I43" s="1766">
        <f t="shared" si="118"/>
        <v>0</v>
      </c>
      <c r="J43" s="1712">
        <f t="shared" si="118"/>
        <v>0</v>
      </c>
      <c r="K43" s="1713">
        <f t="shared" si="118"/>
        <v>0</v>
      </c>
      <c r="L43" s="1713">
        <f t="shared" si="118"/>
        <v>0</v>
      </c>
      <c r="M43" s="1713">
        <f t="shared" si="118"/>
        <v>0</v>
      </c>
      <c r="N43" s="1715">
        <f t="shared" si="118"/>
        <v>0</v>
      </c>
      <c r="O43" s="1713">
        <f t="shared" si="118"/>
        <v>0</v>
      </c>
      <c r="P43" s="1713">
        <f t="shared" si="118"/>
        <v>0</v>
      </c>
      <c r="Q43" s="1713">
        <f t="shared" si="118"/>
        <v>0</v>
      </c>
      <c r="R43" s="1713">
        <f t="shared" si="118"/>
        <v>0</v>
      </c>
      <c r="S43" s="1715">
        <f t="shared" si="118"/>
        <v>0</v>
      </c>
      <c r="T43" s="1686"/>
      <c r="U43" s="1713">
        <f t="shared" ref="U43:AI43" si="119">IF(U33=0,0,U42/U33*100)</f>
        <v>0</v>
      </c>
      <c r="V43" s="1713">
        <f t="shared" si="119"/>
        <v>0</v>
      </c>
      <c r="W43" s="1713">
        <f t="shared" si="119"/>
        <v>0</v>
      </c>
      <c r="X43" s="1713">
        <f t="shared" si="119"/>
        <v>0</v>
      </c>
      <c r="Y43" s="1766">
        <f t="shared" si="119"/>
        <v>0</v>
      </c>
      <c r="Z43" s="1712">
        <f t="shared" si="119"/>
        <v>0</v>
      </c>
      <c r="AA43" s="1713">
        <f t="shared" si="119"/>
        <v>0</v>
      </c>
      <c r="AB43" s="1713">
        <f t="shared" si="119"/>
        <v>0</v>
      </c>
      <c r="AC43" s="1713">
        <f t="shared" si="119"/>
        <v>0</v>
      </c>
      <c r="AD43" s="1715">
        <f t="shared" si="119"/>
        <v>0</v>
      </c>
      <c r="AE43" s="1713">
        <f t="shared" si="119"/>
        <v>0</v>
      </c>
      <c r="AF43" s="1713">
        <f t="shared" si="119"/>
        <v>0</v>
      </c>
      <c r="AG43" s="1713">
        <f t="shared" si="119"/>
        <v>0</v>
      </c>
      <c r="AH43" s="1713">
        <f t="shared" si="119"/>
        <v>0</v>
      </c>
      <c r="AI43" s="1715">
        <f t="shared" si="119"/>
        <v>0</v>
      </c>
      <c r="AJ43" s="1686"/>
      <c r="AK43" s="1713">
        <f t="shared" ref="AK43:AY43" si="120">IF(AK33=0,0,AK42/AK33*100)</f>
        <v>0</v>
      </c>
      <c r="AL43" s="1713">
        <f t="shared" si="120"/>
        <v>0</v>
      </c>
      <c r="AM43" s="1713">
        <f t="shared" si="120"/>
        <v>0</v>
      </c>
      <c r="AN43" s="1713">
        <f t="shared" si="120"/>
        <v>0</v>
      </c>
      <c r="AO43" s="1766">
        <f t="shared" si="120"/>
        <v>0</v>
      </c>
      <c r="AP43" s="1712">
        <f t="shared" si="120"/>
        <v>0</v>
      </c>
      <c r="AQ43" s="1713">
        <f t="shared" si="120"/>
        <v>0</v>
      </c>
      <c r="AR43" s="1713">
        <f t="shared" si="120"/>
        <v>0</v>
      </c>
      <c r="AS43" s="1713">
        <f t="shared" si="120"/>
        <v>0</v>
      </c>
      <c r="AT43" s="1715">
        <f t="shared" si="120"/>
        <v>0</v>
      </c>
      <c r="AU43" s="1713">
        <f t="shared" si="120"/>
        <v>0</v>
      </c>
      <c r="AV43" s="1713">
        <f t="shared" si="120"/>
        <v>0</v>
      </c>
      <c r="AW43" s="1713">
        <f t="shared" si="120"/>
        <v>0</v>
      </c>
      <c r="AX43" s="1713">
        <f t="shared" si="120"/>
        <v>0</v>
      </c>
      <c r="AY43" s="1715">
        <f t="shared" si="120"/>
        <v>0</v>
      </c>
    </row>
    <row r="44" spans="1:51" ht="30">
      <c r="A44" s="1685"/>
      <c r="B44" s="1697" t="s">
        <v>239</v>
      </c>
      <c r="C44" s="1717" t="s">
        <v>2041</v>
      </c>
      <c r="D44" s="1589" t="s">
        <v>241</v>
      </c>
      <c r="E44" s="1701">
        <f t="shared" ref="E44:E48" si="121">SUM(F44:I44)</f>
        <v>0</v>
      </c>
      <c r="F44" s="1531"/>
      <c r="G44" s="1531"/>
      <c r="H44" s="1531"/>
      <c r="I44" s="1703"/>
      <c r="J44" s="1701">
        <f t="shared" ref="J44:J48" si="122">SUM(K44:N44)</f>
        <v>0</v>
      </c>
      <c r="K44" s="1531"/>
      <c r="L44" s="1531"/>
      <c r="M44" s="1531"/>
      <c r="N44" s="1703"/>
      <c r="O44" s="1701">
        <f t="shared" ref="O44:O48" si="123">SUM(P44:S44)</f>
        <v>0</v>
      </c>
      <c r="P44" s="1699">
        <f t="shared" ref="P44:S44" si="124">SUM(K44/2,F44/2)</f>
        <v>0</v>
      </c>
      <c r="Q44" s="1699">
        <f t="shared" si="124"/>
        <v>0</v>
      </c>
      <c r="R44" s="1699">
        <f t="shared" si="124"/>
        <v>0</v>
      </c>
      <c r="S44" s="1700">
        <f t="shared" si="124"/>
        <v>0</v>
      </c>
      <c r="T44" s="1686"/>
      <c r="U44" s="1701">
        <f t="shared" ref="U44:U48" si="125">SUM(V44:Y44)</f>
        <v>0</v>
      </c>
      <c r="V44" s="1531"/>
      <c r="W44" s="1531"/>
      <c r="X44" s="1531"/>
      <c r="Y44" s="1703"/>
      <c r="Z44" s="1701">
        <f t="shared" ref="Z44:Z48" si="126">SUM(AA44:AD44)</f>
        <v>0</v>
      </c>
      <c r="AA44" s="1531"/>
      <c r="AB44" s="1531"/>
      <c r="AC44" s="1531"/>
      <c r="AD44" s="1703"/>
      <c r="AE44" s="1701">
        <f t="shared" ref="AE44:AE48" si="127">SUM(AF44:AI44)</f>
        <v>0</v>
      </c>
      <c r="AF44" s="1699">
        <f t="shared" ref="AF44" si="128">SUM(AA44/2,V44/2)</f>
        <v>0</v>
      </c>
      <c r="AG44" s="1699">
        <f t="shared" ref="AG44" si="129">SUM(AB44/2,W44/2)</f>
        <v>0</v>
      </c>
      <c r="AH44" s="1699">
        <f t="shared" ref="AH44" si="130">SUM(AC44/2,X44/2)</f>
        <v>0</v>
      </c>
      <c r="AI44" s="1700">
        <f t="shared" ref="AI44" si="131">SUM(AD44/2,Y44/2)</f>
        <v>0</v>
      </c>
      <c r="AJ44" s="1686"/>
      <c r="AK44" s="1701">
        <f t="shared" ref="AK44:AK48" si="132">SUM(AL44:AO44)</f>
        <v>0</v>
      </c>
      <c r="AL44" s="1531"/>
      <c r="AM44" s="1531"/>
      <c r="AN44" s="1531"/>
      <c r="AO44" s="1703"/>
      <c r="AP44" s="1701">
        <f t="shared" ref="AP44:AP48" si="133">SUM(AQ44:AT44)</f>
        <v>0</v>
      </c>
      <c r="AQ44" s="1531"/>
      <c r="AR44" s="1531"/>
      <c r="AS44" s="1531"/>
      <c r="AT44" s="1703"/>
      <c r="AU44" s="1701">
        <f t="shared" ref="AU44:AU48" si="134">SUM(AV44:AY44)</f>
        <v>0</v>
      </c>
      <c r="AV44" s="1699">
        <f t="shared" ref="AV44" si="135">SUM(AQ44/2,AL44/2)</f>
        <v>0</v>
      </c>
      <c r="AW44" s="1699">
        <f t="shared" ref="AW44" si="136">SUM(AR44/2,AM44/2)</f>
        <v>0</v>
      </c>
      <c r="AX44" s="1699">
        <f t="shared" ref="AX44" si="137">SUM(AS44/2,AN44/2)</f>
        <v>0</v>
      </c>
      <c r="AY44" s="1700">
        <f t="shared" ref="AY44" si="138">SUM(AT44/2,AO44/2)</f>
        <v>0</v>
      </c>
    </row>
    <row r="45" spans="1:51" ht="31.5">
      <c r="A45" s="1685"/>
      <c r="B45" s="1523" t="s">
        <v>242</v>
      </c>
      <c r="C45" s="1521" t="s">
        <v>2042</v>
      </c>
      <c r="D45" s="1711" t="s">
        <v>241</v>
      </c>
      <c r="E45" s="1713">
        <f t="shared" si="121"/>
        <v>0</v>
      </c>
      <c r="F45" s="1714">
        <f>SUM(F46,F48)</f>
        <v>0</v>
      </c>
      <c r="G45" s="1714">
        <f>SUM(G46,G48)</f>
        <v>0</v>
      </c>
      <c r="H45" s="1714">
        <f>SUM(H46,H48)</f>
        <v>0</v>
      </c>
      <c r="I45" s="1715">
        <f>SUM(I46,I48)</f>
        <v>0</v>
      </c>
      <c r="J45" s="1713">
        <f t="shared" si="122"/>
        <v>0</v>
      </c>
      <c r="K45" s="1714">
        <f>SUM(K46,K48)</f>
        <v>0</v>
      </c>
      <c r="L45" s="1714">
        <f>SUM(L46,L48)</f>
        <v>0</v>
      </c>
      <c r="M45" s="1714">
        <f>SUM(M46,M48)</f>
        <v>0</v>
      </c>
      <c r="N45" s="1715">
        <f>SUM(N46,N48)</f>
        <v>0</v>
      </c>
      <c r="O45" s="1713">
        <f t="shared" si="123"/>
        <v>0</v>
      </c>
      <c r="P45" s="1714">
        <f>SUM(P46,P48)</f>
        <v>0</v>
      </c>
      <c r="Q45" s="1714">
        <f>SUM(Q46,Q48)</f>
        <v>0</v>
      </c>
      <c r="R45" s="1714">
        <f>SUM(R46,R48)</f>
        <v>0</v>
      </c>
      <c r="S45" s="1715">
        <f>SUM(S46,S48)</f>
        <v>0</v>
      </c>
      <c r="T45" s="1686"/>
      <c r="U45" s="1713">
        <f t="shared" si="125"/>
        <v>0</v>
      </c>
      <c r="V45" s="1714">
        <f>SUM(V46,V48)</f>
        <v>0</v>
      </c>
      <c r="W45" s="1714">
        <f>SUM(W46,W48)</f>
        <v>0</v>
      </c>
      <c r="X45" s="1714">
        <f>SUM(X46,X48)</f>
        <v>0</v>
      </c>
      <c r="Y45" s="1715">
        <f>SUM(Y46,Y48)</f>
        <v>0</v>
      </c>
      <c r="Z45" s="1713">
        <f t="shared" si="126"/>
        <v>0</v>
      </c>
      <c r="AA45" s="1714">
        <f>SUM(AA46,AA48)</f>
        <v>0</v>
      </c>
      <c r="AB45" s="1714">
        <f>SUM(AB46,AB48)</f>
        <v>0</v>
      </c>
      <c r="AC45" s="1714">
        <f>SUM(AC46,AC48)</f>
        <v>0</v>
      </c>
      <c r="AD45" s="1715">
        <f>SUM(AD46,AD48)</f>
        <v>0</v>
      </c>
      <c r="AE45" s="1713">
        <f t="shared" si="127"/>
        <v>0</v>
      </c>
      <c r="AF45" s="1714">
        <f>SUM(AF46,AF48)</f>
        <v>0</v>
      </c>
      <c r="AG45" s="1714">
        <f>SUM(AG46,AG48)</f>
        <v>0</v>
      </c>
      <c r="AH45" s="1714">
        <f>SUM(AH46,AH48)</f>
        <v>0</v>
      </c>
      <c r="AI45" s="1715">
        <f>SUM(AI46,AI48)</f>
        <v>0</v>
      </c>
      <c r="AJ45" s="1686"/>
      <c r="AK45" s="1713">
        <f t="shared" si="132"/>
        <v>0</v>
      </c>
      <c r="AL45" s="1714">
        <f>SUM(AL46,AL48)</f>
        <v>0</v>
      </c>
      <c r="AM45" s="1714">
        <f>SUM(AM46,AM48)</f>
        <v>0</v>
      </c>
      <c r="AN45" s="1714">
        <f>SUM(AN46,AN48)</f>
        <v>0</v>
      </c>
      <c r="AO45" s="1715">
        <f>SUM(AO46,AO48)</f>
        <v>0</v>
      </c>
      <c r="AP45" s="1713">
        <f t="shared" si="133"/>
        <v>0</v>
      </c>
      <c r="AQ45" s="1714">
        <f>SUM(AQ46,AQ48)</f>
        <v>0</v>
      </c>
      <c r="AR45" s="1714">
        <f>SUM(AR46,AR48)</f>
        <v>0</v>
      </c>
      <c r="AS45" s="1714">
        <f>SUM(AS46,AS48)</f>
        <v>0</v>
      </c>
      <c r="AT45" s="1715">
        <f>SUM(AT46,AT48)</f>
        <v>0</v>
      </c>
      <c r="AU45" s="1713">
        <f t="shared" si="134"/>
        <v>0</v>
      </c>
      <c r="AV45" s="1714">
        <f>SUM(AV46,AV48)</f>
        <v>0</v>
      </c>
      <c r="AW45" s="1714">
        <f>SUM(AW46,AW48)</f>
        <v>0</v>
      </c>
      <c r="AX45" s="1714">
        <f>SUM(AX46,AX48)</f>
        <v>0</v>
      </c>
      <c r="AY45" s="1715">
        <f>SUM(AY46,AY48)</f>
        <v>0</v>
      </c>
    </row>
    <row r="46" spans="1:51" ht="30">
      <c r="A46" s="1685"/>
      <c r="B46" s="1697" t="s">
        <v>473</v>
      </c>
      <c r="C46" s="1526" t="s">
        <v>2069</v>
      </c>
      <c r="D46" s="1589" t="s">
        <v>241</v>
      </c>
      <c r="E46" s="1701">
        <f t="shared" si="121"/>
        <v>0</v>
      </c>
      <c r="F46" s="1538"/>
      <c r="G46" s="1538"/>
      <c r="H46" s="1538"/>
      <c r="I46" s="1725"/>
      <c r="J46" s="1701">
        <f t="shared" si="122"/>
        <v>0</v>
      </c>
      <c r="K46" s="1538"/>
      <c r="L46" s="1538"/>
      <c r="M46" s="1538"/>
      <c r="N46" s="1725"/>
      <c r="O46" s="1701">
        <f t="shared" si="123"/>
        <v>0</v>
      </c>
      <c r="P46" s="1699">
        <f t="shared" ref="P46:S48" si="139">SUM(K46/2,F46/2)</f>
        <v>0</v>
      </c>
      <c r="Q46" s="1699">
        <f t="shared" si="139"/>
        <v>0</v>
      </c>
      <c r="R46" s="1699">
        <f t="shared" si="139"/>
        <v>0</v>
      </c>
      <c r="S46" s="1700">
        <f t="shared" si="139"/>
        <v>0</v>
      </c>
      <c r="T46" s="1686"/>
      <c r="U46" s="1701">
        <f t="shared" si="125"/>
        <v>0</v>
      </c>
      <c r="V46" s="1538"/>
      <c r="W46" s="1538"/>
      <c r="X46" s="1538"/>
      <c r="Y46" s="1725"/>
      <c r="Z46" s="1701">
        <f t="shared" si="126"/>
        <v>0</v>
      </c>
      <c r="AA46" s="1538"/>
      <c r="AB46" s="1538"/>
      <c r="AC46" s="1538"/>
      <c r="AD46" s="1725"/>
      <c r="AE46" s="1701">
        <f t="shared" si="127"/>
        <v>0</v>
      </c>
      <c r="AF46" s="1699">
        <f t="shared" ref="AF46:AF48" si="140">SUM(AA46/2,V46/2)</f>
        <v>0</v>
      </c>
      <c r="AG46" s="1699">
        <f t="shared" ref="AG46:AG48" si="141">SUM(AB46/2,W46/2)</f>
        <v>0</v>
      </c>
      <c r="AH46" s="1699">
        <f t="shared" ref="AH46:AH48" si="142">SUM(AC46/2,X46/2)</f>
        <v>0</v>
      </c>
      <c r="AI46" s="1700">
        <f t="shared" ref="AI46:AI48" si="143">SUM(AD46/2,Y46/2)</f>
        <v>0</v>
      </c>
      <c r="AJ46" s="1686"/>
      <c r="AK46" s="1701">
        <f t="shared" si="132"/>
        <v>0</v>
      </c>
      <c r="AL46" s="1538"/>
      <c r="AM46" s="1538"/>
      <c r="AN46" s="1538"/>
      <c r="AO46" s="1725"/>
      <c r="AP46" s="1701">
        <f t="shared" si="133"/>
        <v>0</v>
      </c>
      <c r="AQ46" s="1538"/>
      <c r="AR46" s="1538"/>
      <c r="AS46" s="1538"/>
      <c r="AT46" s="1725"/>
      <c r="AU46" s="1701">
        <f t="shared" si="134"/>
        <v>0</v>
      </c>
      <c r="AV46" s="1699">
        <f t="shared" ref="AV46:AV48" si="144">SUM(AQ46/2,AL46/2)</f>
        <v>0</v>
      </c>
      <c r="AW46" s="1699">
        <f t="shared" ref="AW46:AW48" si="145">SUM(AR46/2,AM46/2)</f>
        <v>0</v>
      </c>
      <c r="AX46" s="1699">
        <f t="shared" ref="AX46:AX48" si="146">SUM(AS46/2,AN46/2)</f>
        <v>0</v>
      </c>
      <c r="AY46" s="1700">
        <f t="shared" ref="AY46:AY48" si="147">SUM(AT46/2,AO46/2)</f>
        <v>0</v>
      </c>
    </row>
    <row r="47" spans="1:51" ht="30">
      <c r="A47" s="1685"/>
      <c r="B47" s="1697" t="s">
        <v>2065</v>
      </c>
      <c r="C47" s="1702" t="s">
        <v>2070</v>
      </c>
      <c r="D47" s="1589" t="s">
        <v>241</v>
      </c>
      <c r="E47" s="1701">
        <f t="shared" si="121"/>
        <v>0</v>
      </c>
      <c r="F47" s="1538"/>
      <c r="G47" s="1538"/>
      <c r="H47" s="1538"/>
      <c r="I47" s="1725"/>
      <c r="J47" s="1701">
        <f t="shared" si="122"/>
        <v>0</v>
      </c>
      <c r="K47" s="1538"/>
      <c r="L47" s="1538"/>
      <c r="M47" s="1538"/>
      <c r="N47" s="1725"/>
      <c r="O47" s="1701">
        <f t="shared" si="123"/>
        <v>0</v>
      </c>
      <c r="P47" s="1699">
        <f t="shared" si="139"/>
        <v>0</v>
      </c>
      <c r="Q47" s="1699">
        <f t="shared" si="139"/>
        <v>0</v>
      </c>
      <c r="R47" s="1699">
        <f t="shared" si="139"/>
        <v>0</v>
      </c>
      <c r="S47" s="1700">
        <f t="shared" si="139"/>
        <v>0</v>
      </c>
      <c r="T47" s="1686"/>
      <c r="U47" s="1701">
        <f t="shared" si="125"/>
        <v>0</v>
      </c>
      <c r="V47" s="1538"/>
      <c r="W47" s="1538"/>
      <c r="X47" s="1538"/>
      <c r="Y47" s="1725"/>
      <c r="Z47" s="1701">
        <f t="shared" si="126"/>
        <v>0</v>
      </c>
      <c r="AA47" s="1538"/>
      <c r="AB47" s="1538"/>
      <c r="AC47" s="1538"/>
      <c r="AD47" s="1725"/>
      <c r="AE47" s="1701">
        <f t="shared" si="127"/>
        <v>0</v>
      </c>
      <c r="AF47" s="1699">
        <f t="shared" si="140"/>
        <v>0</v>
      </c>
      <c r="AG47" s="1699">
        <f t="shared" si="141"/>
        <v>0</v>
      </c>
      <c r="AH47" s="1699">
        <f t="shared" si="142"/>
        <v>0</v>
      </c>
      <c r="AI47" s="1700">
        <f t="shared" si="143"/>
        <v>0</v>
      </c>
      <c r="AJ47" s="1686"/>
      <c r="AK47" s="1701">
        <f t="shared" si="132"/>
        <v>0</v>
      </c>
      <c r="AL47" s="1538"/>
      <c r="AM47" s="1538"/>
      <c r="AN47" s="1538"/>
      <c r="AO47" s="1725"/>
      <c r="AP47" s="1701">
        <f t="shared" si="133"/>
        <v>0</v>
      </c>
      <c r="AQ47" s="1538"/>
      <c r="AR47" s="1538"/>
      <c r="AS47" s="1538"/>
      <c r="AT47" s="1725"/>
      <c r="AU47" s="1701">
        <f t="shared" si="134"/>
        <v>0</v>
      </c>
      <c r="AV47" s="1699">
        <f t="shared" si="144"/>
        <v>0</v>
      </c>
      <c r="AW47" s="1699">
        <f t="shared" si="145"/>
        <v>0</v>
      </c>
      <c r="AX47" s="1699">
        <f t="shared" si="146"/>
        <v>0</v>
      </c>
      <c r="AY47" s="1700">
        <f t="shared" si="147"/>
        <v>0</v>
      </c>
    </row>
    <row r="48" spans="1:51" ht="15.75" thickBot="1">
      <c r="A48" s="1685"/>
      <c r="B48" s="1767" t="s">
        <v>481</v>
      </c>
      <c r="C48" s="1533" t="s">
        <v>1146</v>
      </c>
      <c r="D48" s="1768" t="s">
        <v>241</v>
      </c>
      <c r="E48" s="1701">
        <f t="shared" si="121"/>
        <v>0</v>
      </c>
      <c r="F48" s="1538"/>
      <c r="G48" s="1538"/>
      <c r="H48" s="1538"/>
      <c r="I48" s="1721"/>
      <c r="J48" s="1701">
        <f t="shared" si="122"/>
        <v>0</v>
      </c>
      <c r="K48" s="1538"/>
      <c r="L48" s="1538"/>
      <c r="M48" s="1538"/>
      <c r="N48" s="1725"/>
      <c r="O48" s="1701">
        <f t="shared" si="123"/>
        <v>0</v>
      </c>
      <c r="P48" s="1699">
        <f t="shared" si="139"/>
        <v>0</v>
      </c>
      <c r="Q48" s="1699">
        <f t="shared" si="139"/>
        <v>0</v>
      </c>
      <c r="R48" s="1699">
        <f t="shared" si="139"/>
        <v>0</v>
      </c>
      <c r="S48" s="1782">
        <f t="shared" si="139"/>
        <v>0</v>
      </c>
      <c r="T48" s="1686"/>
      <c r="U48" s="1701">
        <f t="shared" si="125"/>
        <v>0</v>
      </c>
      <c r="V48" s="1538"/>
      <c r="W48" s="1538"/>
      <c r="X48" s="1538"/>
      <c r="Y48" s="1721"/>
      <c r="Z48" s="1701">
        <f t="shared" si="126"/>
        <v>0</v>
      </c>
      <c r="AA48" s="1538"/>
      <c r="AB48" s="1538"/>
      <c r="AC48" s="1538"/>
      <c r="AD48" s="1725"/>
      <c r="AE48" s="1701">
        <f t="shared" si="127"/>
        <v>0</v>
      </c>
      <c r="AF48" s="1699">
        <f t="shared" si="140"/>
        <v>0</v>
      </c>
      <c r="AG48" s="1699">
        <f t="shared" si="141"/>
        <v>0</v>
      </c>
      <c r="AH48" s="1699">
        <f t="shared" si="142"/>
        <v>0</v>
      </c>
      <c r="AI48" s="1782">
        <f t="shared" si="143"/>
        <v>0</v>
      </c>
      <c r="AJ48" s="1686"/>
      <c r="AK48" s="1701">
        <f t="shared" si="132"/>
        <v>0</v>
      </c>
      <c r="AL48" s="1538"/>
      <c r="AM48" s="1538"/>
      <c r="AN48" s="1538"/>
      <c r="AO48" s="1721"/>
      <c r="AP48" s="1701">
        <f t="shared" si="133"/>
        <v>0</v>
      </c>
      <c r="AQ48" s="1538"/>
      <c r="AR48" s="1538"/>
      <c r="AS48" s="1538"/>
      <c r="AT48" s="1725"/>
      <c r="AU48" s="1701">
        <f t="shared" si="134"/>
        <v>0</v>
      </c>
      <c r="AV48" s="1699">
        <f t="shared" si="144"/>
        <v>0</v>
      </c>
      <c r="AW48" s="1699">
        <f t="shared" si="145"/>
        <v>0</v>
      </c>
      <c r="AX48" s="1699">
        <f t="shared" si="146"/>
        <v>0</v>
      </c>
      <c r="AY48" s="1782">
        <f t="shared" si="147"/>
        <v>0</v>
      </c>
    </row>
    <row r="49" spans="1:51" ht="16.5" thickBot="1">
      <c r="A49" s="1685"/>
      <c r="B49" s="2196" t="s">
        <v>1084</v>
      </c>
      <c r="C49" s="2197"/>
      <c r="D49" s="2198"/>
      <c r="E49" s="1779">
        <f>E33-E42-E44-E45</f>
        <v>0</v>
      </c>
      <c r="F49" s="1780">
        <f>F33-G36-F44-H36-F42-F45</f>
        <v>0</v>
      </c>
      <c r="G49" s="1780">
        <f>G33-H37-I37-G42-G44-G45</f>
        <v>0</v>
      </c>
      <c r="H49" s="1780">
        <f>H33-I38-H42-H44-H45</f>
        <v>0</v>
      </c>
      <c r="I49" s="1781">
        <f>I33-I42-I44-I45</f>
        <v>0</v>
      </c>
      <c r="J49" s="1779">
        <f>J33-J42-J44-J45</f>
        <v>0</v>
      </c>
      <c r="K49" s="1780">
        <f>K33-L36-K44-M36-K42-K45</f>
        <v>0</v>
      </c>
      <c r="L49" s="1780">
        <f>L33-M37-N37-L42-L44-L45</f>
        <v>0</v>
      </c>
      <c r="M49" s="1780">
        <f>M33-N38-M42-M44-M45</f>
        <v>0</v>
      </c>
      <c r="N49" s="1781">
        <f>N33-N42-N44-N45</f>
        <v>0</v>
      </c>
      <c r="O49" s="1783">
        <f>O33-O42-O44-O45</f>
        <v>0</v>
      </c>
      <c r="P49" s="1780">
        <f>P33-Q36-P44-R36-P42-P45</f>
        <v>0</v>
      </c>
      <c r="Q49" s="1780">
        <f>Q33-R37-S37-Q42-Q44-Q45</f>
        <v>0</v>
      </c>
      <c r="R49" s="1780">
        <f>R33-S38-R42-R44-R45</f>
        <v>0</v>
      </c>
      <c r="S49" s="1781">
        <f>S33-S42-S44-S45</f>
        <v>0</v>
      </c>
      <c r="U49" s="1779">
        <f>U33-U42-U44-U45</f>
        <v>0</v>
      </c>
      <c r="V49" s="1780">
        <f>V33-W36-V44-X36-V42-V45</f>
        <v>0</v>
      </c>
      <c r="W49" s="1780">
        <f>W33-X37-Y37-W42-W44-W45</f>
        <v>0</v>
      </c>
      <c r="X49" s="1780">
        <f>X33-Y38-X42-X44-X45</f>
        <v>0</v>
      </c>
      <c r="Y49" s="1781">
        <f>Y33-Y42-Y44-Y45</f>
        <v>0</v>
      </c>
      <c r="Z49" s="1779">
        <f>Z33-Z42-Z44-Z45</f>
        <v>0</v>
      </c>
      <c r="AA49" s="1780">
        <f>AA33-AB36-AA44-AC36-AA42-AA45</f>
        <v>0</v>
      </c>
      <c r="AB49" s="1780">
        <f>AB33-AC37-AD37-AB42-AB44-AB45</f>
        <v>0</v>
      </c>
      <c r="AC49" s="1780">
        <f>AC33-AD38-AC42-AC44-AC45</f>
        <v>0</v>
      </c>
      <c r="AD49" s="1781">
        <f>AD33-AD42-AD44-AD45</f>
        <v>0</v>
      </c>
      <c r="AE49" s="1783">
        <f>AE33-AE42-AE44-AE45</f>
        <v>0</v>
      </c>
      <c r="AF49" s="1780">
        <f>AF33-AG36-AF44-AH36-AF42-AF45</f>
        <v>0</v>
      </c>
      <c r="AG49" s="1780">
        <f>AG33-AH37-AI37-AG42-AG44-AG45</f>
        <v>0</v>
      </c>
      <c r="AH49" s="1780">
        <f>AH33-AI38-AH42-AH44-AH45</f>
        <v>0</v>
      </c>
      <c r="AI49" s="1781">
        <f>AI33-AI42-AI44-AI45</f>
        <v>0</v>
      </c>
      <c r="AK49" s="1779">
        <f>AK33-AK42-AK44-AK45</f>
        <v>0</v>
      </c>
      <c r="AL49" s="1780">
        <f>AL33-AM36-AL44-AN36-AL42-AL45</f>
        <v>0</v>
      </c>
      <c r="AM49" s="1780">
        <f>AM33-AN37-AO37-AM42-AM44-AM45</f>
        <v>0</v>
      </c>
      <c r="AN49" s="1780">
        <f>AN33-AO38-AN42-AN44-AN45</f>
        <v>0</v>
      </c>
      <c r="AO49" s="1781">
        <f>AO33-AO42-AO44-AO45</f>
        <v>0</v>
      </c>
      <c r="AP49" s="1779">
        <f>AP33-AP42-AP44-AP45</f>
        <v>0</v>
      </c>
      <c r="AQ49" s="1780">
        <f>AQ33-AR36-AQ44-AS36-AQ42-AQ45</f>
        <v>0</v>
      </c>
      <c r="AR49" s="1780">
        <f>AR33-AS37-AT37-AR42-AR44-AR45</f>
        <v>0</v>
      </c>
      <c r="AS49" s="1780">
        <f>AS33-AT38-AS42-AS44-AS45</f>
        <v>0</v>
      </c>
      <c r="AT49" s="1781">
        <f>AT33-AT42-AT44-AT45</f>
        <v>0</v>
      </c>
      <c r="AU49" s="1783">
        <f>AU33-AU42-AU44-AU45</f>
        <v>0</v>
      </c>
      <c r="AV49" s="1780">
        <f>AV33-AW36-AV44-AX36-AV42-AV45</f>
        <v>0</v>
      </c>
      <c r="AW49" s="1780">
        <f>AW33-AX37-AY37-AW42-AW44-AW45</f>
        <v>0</v>
      </c>
      <c r="AX49" s="1780">
        <f>AX33-AY38-AX42-AX44-AX45</f>
        <v>0</v>
      </c>
      <c r="AY49" s="1781">
        <f>AY33-AY42-AY44-AY45</f>
        <v>0</v>
      </c>
    </row>
    <row r="52" spans="1:51" ht="20.25">
      <c r="E52" s="2188" t="s">
        <v>2071</v>
      </c>
      <c r="F52" s="2188"/>
      <c r="G52" s="2188"/>
      <c r="H52" s="2188"/>
      <c r="I52" s="2188"/>
      <c r="J52" s="2188"/>
      <c r="K52" s="2188"/>
      <c r="L52" s="2188"/>
      <c r="M52" s="2188"/>
      <c r="N52" s="2188"/>
      <c r="O52" s="2188"/>
      <c r="P52" s="2188"/>
      <c r="Q52" s="2188"/>
      <c r="R52" s="2188"/>
      <c r="S52" s="2188"/>
      <c r="U52" s="2188" t="s">
        <v>2071</v>
      </c>
      <c r="V52" s="2188"/>
      <c r="W52" s="2188"/>
      <c r="X52" s="2188"/>
      <c r="Y52" s="2188"/>
      <c r="Z52" s="2188"/>
      <c r="AA52" s="2188"/>
      <c r="AB52" s="2188"/>
      <c r="AC52" s="2188"/>
      <c r="AD52" s="2188"/>
      <c r="AE52" s="2188"/>
      <c r="AF52" s="2188"/>
      <c r="AG52" s="2188"/>
      <c r="AH52" s="2188"/>
      <c r="AI52" s="2188"/>
      <c r="AK52" s="2188" t="s">
        <v>2071</v>
      </c>
      <c r="AL52" s="2188"/>
      <c r="AM52" s="2188"/>
      <c r="AN52" s="2188"/>
      <c r="AO52" s="2188"/>
      <c r="AP52" s="2188"/>
      <c r="AQ52" s="2188"/>
      <c r="AR52" s="2188"/>
      <c r="AS52" s="2188"/>
      <c r="AT52" s="2188"/>
      <c r="AU52" s="2188"/>
      <c r="AV52" s="2188"/>
      <c r="AW52" s="2188"/>
      <c r="AX52" s="2188"/>
      <c r="AY52" s="2188"/>
    </row>
    <row r="53" spans="1:51" ht="20.25">
      <c r="E53" s="2188"/>
      <c r="F53" s="2188"/>
      <c r="G53" s="2188"/>
      <c r="H53" s="2188"/>
      <c r="I53" s="2188"/>
      <c r="J53" s="2188"/>
      <c r="K53" s="2188"/>
      <c r="L53" s="2188"/>
      <c r="M53" s="2188"/>
      <c r="N53" s="2188"/>
      <c r="O53" s="2188"/>
      <c r="P53" s="2188"/>
      <c r="Q53" s="2188"/>
      <c r="R53" s="2188"/>
      <c r="S53" s="2188"/>
      <c r="U53" s="2188"/>
      <c r="V53" s="2188"/>
      <c r="W53" s="2188"/>
      <c r="X53" s="2188"/>
      <c r="Y53" s="2188"/>
      <c r="Z53" s="2188"/>
      <c r="AA53" s="2188"/>
      <c r="AB53" s="2188"/>
      <c r="AC53" s="2188"/>
      <c r="AD53" s="2188"/>
      <c r="AE53" s="2188"/>
      <c r="AF53" s="2188"/>
      <c r="AG53" s="2188"/>
      <c r="AH53" s="2188"/>
      <c r="AI53" s="2188"/>
      <c r="AK53" s="2188"/>
      <c r="AL53" s="2188"/>
      <c r="AM53" s="2188"/>
      <c r="AN53" s="2188"/>
      <c r="AO53" s="2188"/>
      <c r="AP53" s="2188"/>
      <c r="AQ53" s="2188"/>
      <c r="AR53" s="2188"/>
      <c r="AS53" s="2188"/>
      <c r="AT53" s="2188"/>
      <c r="AU53" s="2188"/>
      <c r="AV53" s="2188"/>
      <c r="AW53" s="2188"/>
      <c r="AX53" s="2188"/>
      <c r="AY53" s="2188"/>
    </row>
    <row r="54" spans="1:51" ht="15.75" thickBot="1"/>
    <row r="55" spans="1:51" ht="15.75" customHeight="1">
      <c r="A55" s="1685"/>
      <c r="B55" s="2191" t="s">
        <v>12</v>
      </c>
      <c r="C55" s="2189" t="s">
        <v>261</v>
      </c>
      <c r="D55" s="2180" t="s">
        <v>262</v>
      </c>
      <c r="E55" s="2182" t="s">
        <v>2022</v>
      </c>
      <c r="F55" s="2183"/>
      <c r="G55" s="2183"/>
      <c r="H55" s="2183"/>
      <c r="I55" s="2184"/>
      <c r="J55" s="2182" t="s">
        <v>2023</v>
      </c>
      <c r="K55" s="2183"/>
      <c r="L55" s="2183"/>
      <c r="M55" s="2183"/>
      <c r="N55" s="2184"/>
      <c r="O55" s="2182" t="s">
        <v>2024</v>
      </c>
      <c r="P55" s="2183"/>
      <c r="Q55" s="2183"/>
      <c r="R55" s="2183"/>
      <c r="S55" s="2184"/>
      <c r="U55" s="2182" t="str">
        <f>U6</f>
        <v>I полугодие 2024 года (Предложение Организации)</v>
      </c>
      <c r="V55" s="2183"/>
      <c r="W55" s="2183"/>
      <c r="X55" s="2183"/>
      <c r="Y55" s="2184"/>
      <c r="Z55" s="2182" t="str">
        <f>Z6</f>
        <v>II полугодие 2024 года (Предложение Организации)</v>
      </c>
      <c r="AA55" s="2183"/>
      <c r="AB55" s="2183"/>
      <c r="AC55" s="2183"/>
      <c r="AD55" s="2184"/>
      <c r="AE55" s="2182" t="str">
        <f>AE6</f>
        <v>2024 год (Предложение Организации)</v>
      </c>
      <c r="AF55" s="2183"/>
      <c r="AG55" s="2183"/>
      <c r="AH55" s="2183"/>
      <c r="AI55" s="2184"/>
      <c r="AK55" s="2182" t="str">
        <f>AK6</f>
        <v>I полугодие 2024 года (Согласовано Экспертами)</v>
      </c>
      <c r="AL55" s="2183"/>
      <c r="AM55" s="2183"/>
      <c r="AN55" s="2183"/>
      <c r="AO55" s="2184"/>
      <c r="AP55" s="2182" t="str">
        <f>AP6</f>
        <v>II полугодие 2024 года (Согласовано Экспертами)</v>
      </c>
      <c r="AQ55" s="2183"/>
      <c r="AR55" s="2183"/>
      <c r="AS55" s="2183"/>
      <c r="AT55" s="2184"/>
      <c r="AU55" s="2182" t="str">
        <f>AU6</f>
        <v>2024 год (Согласовано Экспертами)</v>
      </c>
      <c r="AV55" s="2183"/>
      <c r="AW55" s="2183"/>
      <c r="AX55" s="2183"/>
      <c r="AY55" s="2184"/>
    </row>
    <row r="56" spans="1:51" ht="16.5" thickBot="1">
      <c r="A56" s="1685"/>
      <c r="B56" s="2192"/>
      <c r="C56" s="2190"/>
      <c r="D56" s="2181"/>
      <c r="E56" s="1730" t="s">
        <v>2025</v>
      </c>
      <c r="F56" s="1731" t="s">
        <v>168</v>
      </c>
      <c r="G56" s="1731" t="s">
        <v>208</v>
      </c>
      <c r="H56" s="1731" t="s">
        <v>209</v>
      </c>
      <c r="I56" s="1732" t="s">
        <v>171</v>
      </c>
      <c r="J56" s="1494" t="s">
        <v>2025</v>
      </c>
      <c r="K56" s="1612" t="s">
        <v>168</v>
      </c>
      <c r="L56" s="1612" t="s">
        <v>208</v>
      </c>
      <c r="M56" s="1612" t="s">
        <v>209</v>
      </c>
      <c r="N56" s="1613" t="s">
        <v>171</v>
      </c>
      <c r="O56" s="1494" t="s">
        <v>2025</v>
      </c>
      <c r="P56" s="1612" t="s">
        <v>168</v>
      </c>
      <c r="Q56" s="1612" t="s">
        <v>208</v>
      </c>
      <c r="R56" s="1612" t="s">
        <v>209</v>
      </c>
      <c r="S56" s="1613" t="s">
        <v>171</v>
      </c>
      <c r="U56" s="1730" t="s">
        <v>2025</v>
      </c>
      <c r="V56" s="1731" t="s">
        <v>168</v>
      </c>
      <c r="W56" s="1731" t="s">
        <v>208</v>
      </c>
      <c r="X56" s="1731" t="s">
        <v>209</v>
      </c>
      <c r="Y56" s="1732" t="s">
        <v>171</v>
      </c>
      <c r="Z56" s="1494" t="s">
        <v>2025</v>
      </c>
      <c r="AA56" s="1612" t="s">
        <v>168</v>
      </c>
      <c r="AB56" s="1612" t="s">
        <v>208</v>
      </c>
      <c r="AC56" s="1612" t="s">
        <v>209</v>
      </c>
      <c r="AD56" s="1613" t="s">
        <v>171</v>
      </c>
      <c r="AE56" s="1494" t="s">
        <v>2025</v>
      </c>
      <c r="AF56" s="1612" t="s">
        <v>168</v>
      </c>
      <c r="AG56" s="1612" t="s">
        <v>208</v>
      </c>
      <c r="AH56" s="1612" t="s">
        <v>209</v>
      </c>
      <c r="AI56" s="1613" t="s">
        <v>171</v>
      </c>
      <c r="AK56" s="1730" t="s">
        <v>2025</v>
      </c>
      <c r="AL56" s="1731" t="s">
        <v>168</v>
      </c>
      <c r="AM56" s="1731" t="s">
        <v>208</v>
      </c>
      <c r="AN56" s="1731" t="s">
        <v>209</v>
      </c>
      <c r="AO56" s="1732" t="s">
        <v>171</v>
      </c>
      <c r="AP56" s="1494" t="s">
        <v>2025</v>
      </c>
      <c r="AQ56" s="1612" t="s">
        <v>168</v>
      </c>
      <c r="AR56" s="1612" t="s">
        <v>208</v>
      </c>
      <c r="AS56" s="1612" t="s">
        <v>209</v>
      </c>
      <c r="AT56" s="1613" t="s">
        <v>171</v>
      </c>
      <c r="AU56" s="1494" t="s">
        <v>2025</v>
      </c>
      <c r="AV56" s="1612" t="s">
        <v>168</v>
      </c>
      <c r="AW56" s="1612" t="s">
        <v>208</v>
      </c>
      <c r="AX56" s="1612" t="s">
        <v>209</v>
      </c>
      <c r="AY56" s="1613" t="s">
        <v>171</v>
      </c>
    </row>
    <row r="57" spans="1:51" s="1519" customFormat="1" ht="15.75">
      <c r="A57" s="1687"/>
      <c r="B57" s="1735" t="s">
        <v>234</v>
      </c>
      <c r="C57" s="1689" t="s">
        <v>2040</v>
      </c>
      <c r="D57" s="1690" t="s">
        <v>2044</v>
      </c>
      <c r="E57" s="1736" t="str">
        <f t="shared" ref="E57:S57" si="148">IFERROR(E17/E42*1000,"х")</f>
        <v>х</v>
      </c>
      <c r="F57" s="1738" t="str">
        <f t="shared" si="148"/>
        <v>х</v>
      </c>
      <c r="G57" s="1738" t="str">
        <f t="shared" si="148"/>
        <v>х</v>
      </c>
      <c r="H57" s="1738" t="str">
        <f t="shared" si="148"/>
        <v>х</v>
      </c>
      <c r="I57" s="1769" t="str">
        <f t="shared" si="148"/>
        <v>х</v>
      </c>
      <c r="J57" s="1736" t="str">
        <f t="shared" si="148"/>
        <v>х</v>
      </c>
      <c r="K57" s="1738" t="str">
        <f t="shared" si="148"/>
        <v>х</v>
      </c>
      <c r="L57" s="1738" t="str">
        <f t="shared" si="148"/>
        <v>х</v>
      </c>
      <c r="M57" s="1738" t="str">
        <f t="shared" si="148"/>
        <v>х</v>
      </c>
      <c r="N57" s="1769" t="str">
        <f t="shared" si="148"/>
        <v>х</v>
      </c>
      <c r="O57" s="1736" t="str">
        <f t="shared" si="148"/>
        <v>х</v>
      </c>
      <c r="P57" s="1738" t="str">
        <f t="shared" si="148"/>
        <v>х</v>
      </c>
      <c r="Q57" s="1738" t="str">
        <f t="shared" si="148"/>
        <v>х</v>
      </c>
      <c r="R57" s="1738" t="str">
        <f t="shared" si="148"/>
        <v>х</v>
      </c>
      <c r="S57" s="1769" t="str">
        <f t="shared" si="148"/>
        <v>х</v>
      </c>
      <c r="U57" s="1736" t="str">
        <f t="shared" ref="U57:AI57" si="149">IFERROR(U17/U42*1000,"х")</f>
        <v>х</v>
      </c>
      <c r="V57" s="1738" t="str">
        <f t="shared" si="149"/>
        <v>х</v>
      </c>
      <c r="W57" s="1738" t="str">
        <f t="shared" si="149"/>
        <v>х</v>
      </c>
      <c r="X57" s="1738" t="str">
        <f t="shared" si="149"/>
        <v>х</v>
      </c>
      <c r="Y57" s="1769" t="str">
        <f t="shared" si="149"/>
        <v>х</v>
      </c>
      <c r="Z57" s="1736" t="str">
        <f t="shared" si="149"/>
        <v>х</v>
      </c>
      <c r="AA57" s="1738" t="str">
        <f t="shared" si="149"/>
        <v>х</v>
      </c>
      <c r="AB57" s="1738" t="str">
        <f t="shared" si="149"/>
        <v>х</v>
      </c>
      <c r="AC57" s="1738" t="str">
        <f t="shared" si="149"/>
        <v>х</v>
      </c>
      <c r="AD57" s="1769" t="str">
        <f t="shared" si="149"/>
        <v>х</v>
      </c>
      <c r="AE57" s="1736" t="str">
        <f t="shared" si="149"/>
        <v>х</v>
      </c>
      <c r="AF57" s="1738" t="str">
        <f t="shared" si="149"/>
        <v>х</v>
      </c>
      <c r="AG57" s="1738" t="str">
        <f t="shared" si="149"/>
        <v>х</v>
      </c>
      <c r="AH57" s="1738" t="str">
        <f t="shared" si="149"/>
        <v>х</v>
      </c>
      <c r="AI57" s="1769" t="str">
        <f t="shared" si="149"/>
        <v>х</v>
      </c>
      <c r="AK57" s="1736" t="str">
        <f t="shared" ref="AK57:AY57" si="150">IFERROR(AK17/AK42*1000,"х")</f>
        <v>х</v>
      </c>
      <c r="AL57" s="1738" t="str">
        <f t="shared" si="150"/>
        <v>х</v>
      </c>
      <c r="AM57" s="1738" t="str">
        <f t="shared" si="150"/>
        <v>х</v>
      </c>
      <c r="AN57" s="1738" t="str">
        <f t="shared" si="150"/>
        <v>х</v>
      </c>
      <c r="AO57" s="1769" t="str">
        <f t="shared" si="150"/>
        <v>х</v>
      </c>
      <c r="AP57" s="1736" t="str">
        <f t="shared" si="150"/>
        <v>х</v>
      </c>
      <c r="AQ57" s="1738" t="str">
        <f t="shared" si="150"/>
        <v>х</v>
      </c>
      <c r="AR57" s="1738" t="str">
        <f t="shared" si="150"/>
        <v>х</v>
      </c>
      <c r="AS57" s="1738" t="str">
        <f t="shared" si="150"/>
        <v>х</v>
      </c>
      <c r="AT57" s="1769" t="str">
        <f t="shared" si="150"/>
        <v>х</v>
      </c>
      <c r="AU57" s="1736" t="str">
        <f t="shared" si="150"/>
        <v>х</v>
      </c>
      <c r="AV57" s="1738" t="str">
        <f t="shared" si="150"/>
        <v>х</v>
      </c>
      <c r="AW57" s="1738" t="str">
        <f t="shared" si="150"/>
        <v>х</v>
      </c>
      <c r="AX57" s="1738" t="str">
        <f t="shared" si="150"/>
        <v>х</v>
      </c>
      <c r="AY57" s="1769" t="str">
        <f t="shared" si="150"/>
        <v>х</v>
      </c>
    </row>
    <row r="58" spans="1:51" s="1519" customFormat="1" ht="31.5">
      <c r="A58" s="1687"/>
      <c r="B58" s="1520" t="s">
        <v>237</v>
      </c>
      <c r="C58" s="1521" t="s">
        <v>2036</v>
      </c>
      <c r="D58" s="1711" t="s">
        <v>2044</v>
      </c>
      <c r="E58" s="1740" t="str">
        <f t="shared" ref="E58:S58" si="151">IFERROR(E20/E45*1000,"х")</f>
        <v>х</v>
      </c>
      <c r="F58" s="1742" t="str">
        <f t="shared" si="151"/>
        <v>х</v>
      </c>
      <c r="G58" s="1742" t="str">
        <f t="shared" si="151"/>
        <v>х</v>
      </c>
      <c r="H58" s="1742" t="str">
        <f t="shared" si="151"/>
        <v>х</v>
      </c>
      <c r="I58" s="1770" t="str">
        <f t="shared" si="151"/>
        <v>х</v>
      </c>
      <c r="J58" s="1740" t="str">
        <f t="shared" si="151"/>
        <v>х</v>
      </c>
      <c r="K58" s="1742" t="str">
        <f t="shared" si="151"/>
        <v>х</v>
      </c>
      <c r="L58" s="1742" t="str">
        <f t="shared" si="151"/>
        <v>х</v>
      </c>
      <c r="M58" s="1742" t="str">
        <f t="shared" si="151"/>
        <v>х</v>
      </c>
      <c r="N58" s="1770" t="str">
        <f t="shared" si="151"/>
        <v>х</v>
      </c>
      <c r="O58" s="1740" t="str">
        <f t="shared" si="151"/>
        <v>х</v>
      </c>
      <c r="P58" s="1742" t="str">
        <f t="shared" si="151"/>
        <v>х</v>
      </c>
      <c r="Q58" s="1742" t="str">
        <f t="shared" si="151"/>
        <v>х</v>
      </c>
      <c r="R58" s="1742" t="str">
        <f t="shared" si="151"/>
        <v>х</v>
      </c>
      <c r="S58" s="1770" t="str">
        <f t="shared" si="151"/>
        <v>х</v>
      </c>
      <c r="U58" s="1740" t="str">
        <f t="shared" ref="U58:AI58" si="152">IFERROR(U20/U45*1000,"х")</f>
        <v>х</v>
      </c>
      <c r="V58" s="1742" t="str">
        <f t="shared" si="152"/>
        <v>х</v>
      </c>
      <c r="W58" s="1742" t="str">
        <f t="shared" si="152"/>
        <v>х</v>
      </c>
      <c r="X58" s="1742" t="str">
        <f t="shared" si="152"/>
        <v>х</v>
      </c>
      <c r="Y58" s="1770" t="str">
        <f t="shared" si="152"/>
        <v>х</v>
      </c>
      <c r="Z58" s="1740" t="str">
        <f t="shared" si="152"/>
        <v>х</v>
      </c>
      <c r="AA58" s="1742" t="str">
        <f t="shared" si="152"/>
        <v>х</v>
      </c>
      <c r="AB58" s="1742" t="str">
        <f t="shared" si="152"/>
        <v>х</v>
      </c>
      <c r="AC58" s="1742" t="str">
        <f t="shared" si="152"/>
        <v>х</v>
      </c>
      <c r="AD58" s="1770" t="str">
        <f t="shared" si="152"/>
        <v>х</v>
      </c>
      <c r="AE58" s="1740" t="str">
        <f t="shared" si="152"/>
        <v>х</v>
      </c>
      <c r="AF58" s="1742" t="str">
        <f t="shared" si="152"/>
        <v>х</v>
      </c>
      <c r="AG58" s="1742" t="str">
        <f t="shared" si="152"/>
        <v>х</v>
      </c>
      <c r="AH58" s="1742" t="str">
        <f t="shared" si="152"/>
        <v>х</v>
      </c>
      <c r="AI58" s="1770" t="str">
        <f t="shared" si="152"/>
        <v>х</v>
      </c>
      <c r="AK58" s="1740" t="str">
        <f t="shared" ref="AK58:AY58" si="153">IFERROR(AK20/AK45*1000,"х")</f>
        <v>х</v>
      </c>
      <c r="AL58" s="1742" t="str">
        <f t="shared" si="153"/>
        <v>х</v>
      </c>
      <c r="AM58" s="1742" t="str">
        <f t="shared" si="153"/>
        <v>х</v>
      </c>
      <c r="AN58" s="1742" t="str">
        <f t="shared" si="153"/>
        <v>х</v>
      </c>
      <c r="AO58" s="1770" t="str">
        <f t="shared" si="153"/>
        <v>х</v>
      </c>
      <c r="AP58" s="1740" t="str">
        <f t="shared" si="153"/>
        <v>х</v>
      </c>
      <c r="AQ58" s="1742" t="str">
        <f t="shared" si="153"/>
        <v>х</v>
      </c>
      <c r="AR58" s="1742" t="str">
        <f t="shared" si="153"/>
        <v>х</v>
      </c>
      <c r="AS58" s="1742" t="str">
        <f t="shared" si="153"/>
        <v>х</v>
      </c>
      <c r="AT58" s="1770" t="str">
        <f t="shared" si="153"/>
        <v>х</v>
      </c>
      <c r="AU58" s="1740" t="str">
        <f t="shared" si="153"/>
        <v>х</v>
      </c>
      <c r="AV58" s="1742" t="str">
        <f t="shared" si="153"/>
        <v>х</v>
      </c>
      <c r="AW58" s="1742" t="str">
        <f t="shared" si="153"/>
        <v>х</v>
      </c>
      <c r="AX58" s="1742" t="str">
        <f t="shared" si="153"/>
        <v>х</v>
      </c>
      <c r="AY58" s="1770" t="str">
        <f t="shared" si="153"/>
        <v>х</v>
      </c>
    </row>
    <row r="59" spans="1:51" ht="30">
      <c r="A59" s="1685"/>
      <c r="B59" s="1525" t="s">
        <v>520</v>
      </c>
      <c r="C59" s="1526" t="s">
        <v>2072</v>
      </c>
      <c r="D59" s="1589" t="s">
        <v>2044</v>
      </c>
      <c r="E59" s="1771" t="str">
        <f t="shared" ref="E59:S59" si="154">IFERROR(E21/E46*1000,"х")</f>
        <v>х</v>
      </c>
      <c r="F59" s="1772" t="str">
        <f t="shared" si="154"/>
        <v>х</v>
      </c>
      <c r="G59" s="1772" t="str">
        <f t="shared" si="154"/>
        <v>х</v>
      </c>
      <c r="H59" s="1772" t="str">
        <f t="shared" si="154"/>
        <v>х</v>
      </c>
      <c r="I59" s="1773" t="str">
        <f t="shared" si="154"/>
        <v>х</v>
      </c>
      <c r="J59" s="1771" t="str">
        <f t="shared" si="154"/>
        <v>х</v>
      </c>
      <c r="K59" s="1772" t="str">
        <f t="shared" si="154"/>
        <v>х</v>
      </c>
      <c r="L59" s="1772" t="str">
        <f t="shared" si="154"/>
        <v>х</v>
      </c>
      <c r="M59" s="1772" t="str">
        <f t="shared" si="154"/>
        <v>х</v>
      </c>
      <c r="N59" s="1773" t="str">
        <f t="shared" si="154"/>
        <v>х</v>
      </c>
      <c r="O59" s="1771" t="str">
        <f t="shared" si="154"/>
        <v>х</v>
      </c>
      <c r="P59" s="1772" t="str">
        <f t="shared" si="154"/>
        <v>х</v>
      </c>
      <c r="Q59" s="1772" t="str">
        <f t="shared" si="154"/>
        <v>х</v>
      </c>
      <c r="R59" s="1772" t="str">
        <f t="shared" si="154"/>
        <v>х</v>
      </c>
      <c r="S59" s="1773" t="str">
        <f t="shared" si="154"/>
        <v>х</v>
      </c>
      <c r="U59" s="1771" t="str">
        <f t="shared" ref="U59:AI59" si="155">IFERROR(U21/U46*1000,"х")</f>
        <v>х</v>
      </c>
      <c r="V59" s="1772" t="str">
        <f t="shared" si="155"/>
        <v>х</v>
      </c>
      <c r="W59" s="1772" t="str">
        <f t="shared" si="155"/>
        <v>х</v>
      </c>
      <c r="X59" s="1772" t="str">
        <f t="shared" si="155"/>
        <v>х</v>
      </c>
      <c r="Y59" s="1773" t="str">
        <f t="shared" si="155"/>
        <v>х</v>
      </c>
      <c r="Z59" s="1771" t="str">
        <f t="shared" si="155"/>
        <v>х</v>
      </c>
      <c r="AA59" s="1772" t="str">
        <f t="shared" si="155"/>
        <v>х</v>
      </c>
      <c r="AB59" s="1772" t="str">
        <f t="shared" si="155"/>
        <v>х</v>
      </c>
      <c r="AC59" s="1772" t="str">
        <f t="shared" si="155"/>
        <v>х</v>
      </c>
      <c r="AD59" s="1773" t="str">
        <f t="shared" si="155"/>
        <v>х</v>
      </c>
      <c r="AE59" s="1771" t="str">
        <f t="shared" si="155"/>
        <v>х</v>
      </c>
      <c r="AF59" s="1772" t="str">
        <f t="shared" si="155"/>
        <v>х</v>
      </c>
      <c r="AG59" s="1772" t="str">
        <f t="shared" si="155"/>
        <v>х</v>
      </c>
      <c r="AH59" s="1772" t="str">
        <f t="shared" si="155"/>
        <v>х</v>
      </c>
      <c r="AI59" s="1773" t="str">
        <f t="shared" si="155"/>
        <v>х</v>
      </c>
      <c r="AK59" s="1771" t="str">
        <f t="shared" ref="AK59:AY59" si="156">IFERROR(AK21/AK46*1000,"х")</f>
        <v>х</v>
      </c>
      <c r="AL59" s="1772" t="str">
        <f t="shared" si="156"/>
        <v>х</v>
      </c>
      <c r="AM59" s="1772" t="str">
        <f t="shared" si="156"/>
        <v>х</v>
      </c>
      <c r="AN59" s="1772" t="str">
        <f t="shared" si="156"/>
        <v>х</v>
      </c>
      <c r="AO59" s="1773" t="str">
        <f t="shared" si="156"/>
        <v>х</v>
      </c>
      <c r="AP59" s="1771" t="str">
        <f t="shared" si="156"/>
        <v>х</v>
      </c>
      <c r="AQ59" s="1772" t="str">
        <f t="shared" si="156"/>
        <v>х</v>
      </c>
      <c r="AR59" s="1772" t="str">
        <f t="shared" si="156"/>
        <v>х</v>
      </c>
      <c r="AS59" s="1772" t="str">
        <f t="shared" si="156"/>
        <v>х</v>
      </c>
      <c r="AT59" s="1773" t="str">
        <f t="shared" si="156"/>
        <v>х</v>
      </c>
      <c r="AU59" s="1771" t="str">
        <f t="shared" si="156"/>
        <v>х</v>
      </c>
      <c r="AV59" s="1772" t="str">
        <f t="shared" si="156"/>
        <v>х</v>
      </c>
      <c r="AW59" s="1772" t="str">
        <f t="shared" si="156"/>
        <v>х</v>
      </c>
      <c r="AX59" s="1772" t="str">
        <f t="shared" si="156"/>
        <v>х</v>
      </c>
      <c r="AY59" s="1773" t="str">
        <f t="shared" si="156"/>
        <v>х</v>
      </c>
    </row>
    <row r="60" spans="1:51" ht="30">
      <c r="A60" s="1685"/>
      <c r="B60" s="1525" t="s">
        <v>522</v>
      </c>
      <c r="C60" s="1702" t="s">
        <v>2066</v>
      </c>
      <c r="D60" s="1589" t="s">
        <v>2044</v>
      </c>
      <c r="E60" s="1771" t="str">
        <f t="shared" ref="E60:S60" si="157">IFERROR(E22/E47*1000,"х")</f>
        <v>х</v>
      </c>
      <c r="F60" s="1772" t="str">
        <f t="shared" si="157"/>
        <v>х</v>
      </c>
      <c r="G60" s="1772" t="str">
        <f t="shared" si="157"/>
        <v>х</v>
      </c>
      <c r="H60" s="1772" t="str">
        <f t="shared" si="157"/>
        <v>х</v>
      </c>
      <c r="I60" s="1773" t="str">
        <f t="shared" si="157"/>
        <v>х</v>
      </c>
      <c r="J60" s="1771" t="str">
        <f t="shared" si="157"/>
        <v>х</v>
      </c>
      <c r="K60" s="1772" t="str">
        <f t="shared" si="157"/>
        <v>х</v>
      </c>
      <c r="L60" s="1772" t="str">
        <f t="shared" si="157"/>
        <v>х</v>
      </c>
      <c r="M60" s="1772" t="str">
        <f t="shared" si="157"/>
        <v>х</v>
      </c>
      <c r="N60" s="1773" t="str">
        <f t="shared" si="157"/>
        <v>х</v>
      </c>
      <c r="O60" s="1771" t="str">
        <f t="shared" si="157"/>
        <v>х</v>
      </c>
      <c r="P60" s="1772" t="str">
        <f t="shared" si="157"/>
        <v>х</v>
      </c>
      <c r="Q60" s="1772" t="str">
        <f t="shared" si="157"/>
        <v>х</v>
      </c>
      <c r="R60" s="1772" t="str">
        <f t="shared" si="157"/>
        <v>х</v>
      </c>
      <c r="S60" s="1773" t="str">
        <f t="shared" si="157"/>
        <v>х</v>
      </c>
      <c r="U60" s="1771" t="str">
        <f t="shared" ref="U60:AI60" si="158">IFERROR(U22/U47*1000,"х")</f>
        <v>х</v>
      </c>
      <c r="V60" s="1772" t="str">
        <f t="shared" si="158"/>
        <v>х</v>
      </c>
      <c r="W60" s="1772" t="str">
        <f t="shared" si="158"/>
        <v>х</v>
      </c>
      <c r="X60" s="1772" t="str">
        <f t="shared" si="158"/>
        <v>х</v>
      </c>
      <c r="Y60" s="1773" t="str">
        <f t="shared" si="158"/>
        <v>х</v>
      </c>
      <c r="Z60" s="1771" t="str">
        <f t="shared" si="158"/>
        <v>х</v>
      </c>
      <c r="AA60" s="1772" t="str">
        <f t="shared" si="158"/>
        <v>х</v>
      </c>
      <c r="AB60" s="1772" t="str">
        <f t="shared" si="158"/>
        <v>х</v>
      </c>
      <c r="AC60" s="1772" t="str">
        <f t="shared" si="158"/>
        <v>х</v>
      </c>
      <c r="AD60" s="1773" t="str">
        <f t="shared" si="158"/>
        <v>х</v>
      </c>
      <c r="AE60" s="1771" t="str">
        <f t="shared" si="158"/>
        <v>х</v>
      </c>
      <c r="AF60" s="1772" t="str">
        <f t="shared" si="158"/>
        <v>х</v>
      </c>
      <c r="AG60" s="1772" t="str">
        <f t="shared" si="158"/>
        <v>х</v>
      </c>
      <c r="AH60" s="1772" t="str">
        <f t="shared" si="158"/>
        <v>х</v>
      </c>
      <c r="AI60" s="1773" t="str">
        <f t="shared" si="158"/>
        <v>х</v>
      </c>
      <c r="AK60" s="1771" t="str">
        <f t="shared" ref="AK60:AY60" si="159">IFERROR(AK22/AK47*1000,"х")</f>
        <v>х</v>
      </c>
      <c r="AL60" s="1772" t="str">
        <f t="shared" si="159"/>
        <v>х</v>
      </c>
      <c r="AM60" s="1772" t="str">
        <f t="shared" si="159"/>
        <v>х</v>
      </c>
      <c r="AN60" s="1772" t="str">
        <f t="shared" si="159"/>
        <v>х</v>
      </c>
      <c r="AO60" s="1773" t="str">
        <f t="shared" si="159"/>
        <v>х</v>
      </c>
      <c r="AP60" s="1771" t="str">
        <f t="shared" si="159"/>
        <v>х</v>
      </c>
      <c r="AQ60" s="1772" t="str">
        <f t="shared" si="159"/>
        <v>х</v>
      </c>
      <c r="AR60" s="1772" t="str">
        <f t="shared" si="159"/>
        <v>х</v>
      </c>
      <c r="AS60" s="1772" t="str">
        <f t="shared" si="159"/>
        <v>х</v>
      </c>
      <c r="AT60" s="1773" t="str">
        <f t="shared" si="159"/>
        <v>х</v>
      </c>
      <c r="AU60" s="1771" t="str">
        <f t="shared" si="159"/>
        <v>х</v>
      </c>
      <c r="AV60" s="1772" t="str">
        <f t="shared" si="159"/>
        <v>х</v>
      </c>
      <c r="AW60" s="1772" t="str">
        <f t="shared" si="159"/>
        <v>х</v>
      </c>
      <c r="AX60" s="1772" t="str">
        <f t="shared" si="159"/>
        <v>х</v>
      </c>
      <c r="AY60" s="1773" t="str">
        <f t="shared" si="159"/>
        <v>х</v>
      </c>
    </row>
    <row r="61" spans="1:51" ht="15.75" thickBot="1">
      <c r="A61" s="1685"/>
      <c r="B61" s="1598" t="s">
        <v>527</v>
      </c>
      <c r="C61" s="1729" t="s">
        <v>2073</v>
      </c>
      <c r="D61" s="1604" t="s">
        <v>2044</v>
      </c>
      <c r="E61" s="1774" t="str">
        <f t="shared" ref="E61:S61" si="160">IFERROR(E23/E48*1000,"х")</f>
        <v>х</v>
      </c>
      <c r="F61" s="1775" t="str">
        <f t="shared" si="160"/>
        <v>х</v>
      </c>
      <c r="G61" s="1775" t="str">
        <f t="shared" si="160"/>
        <v>х</v>
      </c>
      <c r="H61" s="1775" t="str">
        <f t="shared" si="160"/>
        <v>х</v>
      </c>
      <c r="I61" s="1776" t="str">
        <f t="shared" si="160"/>
        <v>х</v>
      </c>
      <c r="J61" s="1774" t="str">
        <f t="shared" si="160"/>
        <v>х</v>
      </c>
      <c r="K61" s="1775" t="str">
        <f t="shared" si="160"/>
        <v>х</v>
      </c>
      <c r="L61" s="1775" t="str">
        <f t="shared" si="160"/>
        <v>х</v>
      </c>
      <c r="M61" s="1775" t="str">
        <f t="shared" si="160"/>
        <v>х</v>
      </c>
      <c r="N61" s="1776" t="str">
        <f t="shared" si="160"/>
        <v>х</v>
      </c>
      <c r="O61" s="1774" t="str">
        <f t="shared" si="160"/>
        <v>х</v>
      </c>
      <c r="P61" s="1775" t="str">
        <f t="shared" si="160"/>
        <v>х</v>
      </c>
      <c r="Q61" s="1775" t="str">
        <f t="shared" si="160"/>
        <v>х</v>
      </c>
      <c r="R61" s="1775" t="str">
        <f t="shared" si="160"/>
        <v>х</v>
      </c>
      <c r="S61" s="1776" t="str">
        <f t="shared" si="160"/>
        <v>х</v>
      </c>
      <c r="U61" s="1774" t="str">
        <f t="shared" ref="U61:AI61" si="161">IFERROR(U23/U48*1000,"х")</f>
        <v>х</v>
      </c>
      <c r="V61" s="1775" t="str">
        <f t="shared" si="161"/>
        <v>х</v>
      </c>
      <c r="W61" s="1775" t="str">
        <f t="shared" si="161"/>
        <v>х</v>
      </c>
      <c r="X61" s="1775" t="str">
        <f t="shared" si="161"/>
        <v>х</v>
      </c>
      <c r="Y61" s="1776" t="str">
        <f t="shared" si="161"/>
        <v>х</v>
      </c>
      <c r="Z61" s="1774" t="str">
        <f t="shared" si="161"/>
        <v>х</v>
      </c>
      <c r="AA61" s="1775" t="str">
        <f t="shared" si="161"/>
        <v>х</v>
      </c>
      <c r="AB61" s="1775" t="str">
        <f t="shared" si="161"/>
        <v>х</v>
      </c>
      <c r="AC61" s="1775" t="str">
        <f t="shared" si="161"/>
        <v>х</v>
      </c>
      <c r="AD61" s="1776" t="str">
        <f t="shared" si="161"/>
        <v>х</v>
      </c>
      <c r="AE61" s="1774" t="str">
        <f t="shared" si="161"/>
        <v>х</v>
      </c>
      <c r="AF61" s="1775" t="str">
        <f t="shared" si="161"/>
        <v>х</v>
      </c>
      <c r="AG61" s="1775" t="str">
        <f t="shared" si="161"/>
        <v>х</v>
      </c>
      <c r="AH61" s="1775" t="str">
        <f t="shared" si="161"/>
        <v>х</v>
      </c>
      <c r="AI61" s="1776" t="str">
        <f t="shared" si="161"/>
        <v>х</v>
      </c>
      <c r="AK61" s="1774" t="str">
        <f t="shared" ref="AK61:AY61" si="162">IFERROR(AK23/AK48*1000,"х")</f>
        <v>х</v>
      </c>
      <c r="AL61" s="1775" t="str">
        <f t="shared" si="162"/>
        <v>х</v>
      </c>
      <c r="AM61" s="1775" t="str">
        <f t="shared" si="162"/>
        <v>х</v>
      </c>
      <c r="AN61" s="1775" t="str">
        <f t="shared" si="162"/>
        <v>х</v>
      </c>
      <c r="AO61" s="1776" t="str">
        <f t="shared" si="162"/>
        <v>х</v>
      </c>
      <c r="AP61" s="1774" t="str">
        <f t="shared" si="162"/>
        <v>х</v>
      </c>
      <c r="AQ61" s="1775" t="str">
        <f t="shared" si="162"/>
        <v>х</v>
      </c>
      <c r="AR61" s="1775" t="str">
        <f t="shared" si="162"/>
        <v>х</v>
      </c>
      <c r="AS61" s="1775" t="str">
        <f t="shared" si="162"/>
        <v>х</v>
      </c>
      <c r="AT61" s="1776" t="str">
        <f t="shared" si="162"/>
        <v>х</v>
      </c>
      <c r="AU61" s="1774" t="str">
        <f t="shared" si="162"/>
        <v>х</v>
      </c>
      <c r="AV61" s="1775" t="str">
        <f t="shared" si="162"/>
        <v>х</v>
      </c>
      <c r="AW61" s="1775" t="str">
        <f t="shared" si="162"/>
        <v>х</v>
      </c>
      <c r="AX61" s="1775" t="str">
        <f t="shared" si="162"/>
        <v>х</v>
      </c>
      <c r="AY61" s="1776" t="str">
        <f t="shared" si="162"/>
        <v>х</v>
      </c>
    </row>
  </sheetData>
  <mergeCells count="56">
    <mergeCell ref="O6:S6"/>
    <mergeCell ref="E3:S3"/>
    <mergeCell ref="E4:S4"/>
    <mergeCell ref="B6:B7"/>
    <mergeCell ref="C6:C7"/>
    <mergeCell ref="D6:D7"/>
    <mergeCell ref="E6:I6"/>
    <mergeCell ref="J6:N6"/>
    <mergeCell ref="U4:AI4"/>
    <mergeCell ref="AK4:AY4"/>
    <mergeCell ref="U3:AI3"/>
    <mergeCell ref="AK3:AY3"/>
    <mergeCell ref="AK31:AO31"/>
    <mergeCell ref="AP31:AT31"/>
    <mergeCell ref="AU31:AY31"/>
    <mergeCell ref="AK6:AO6"/>
    <mergeCell ref="AP6:AT6"/>
    <mergeCell ref="AU6:AY6"/>
    <mergeCell ref="U6:Y6"/>
    <mergeCell ref="Z6:AD6"/>
    <mergeCell ref="AE6:AI6"/>
    <mergeCell ref="AK29:AY29"/>
    <mergeCell ref="E28:S28"/>
    <mergeCell ref="U28:AI28"/>
    <mergeCell ref="AK28:AY28"/>
    <mergeCell ref="B24:D24"/>
    <mergeCell ref="O31:S31"/>
    <mergeCell ref="U31:Y31"/>
    <mergeCell ref="Z31:AD31"/>
    <mergeCell ref="AE31:AI31"/>
    <mergeCell ref="E29:S29"/>
    <mergeCell ref="U29:AI29"/>
    <mergeCell ref="B31:B32"/>
    <mergeCell ref="C31:C32"/>
    <mergeCell ref="D31:D32"/>
    <mergeCell ref="E31:I31"/>
    <mergeCell ref="J31:N31"/>
    <mergeCell ref="E53:S53"/>
    <mergeCell ref="B49:D49"/>
    <mergeCell ref="E52:S52"/>
    <mergeCell ref="U53:AI53"/>
    <mergeCell ref="AK53:AY53"/>
    <mergeCell ref="O55:S55"/>
    <mergeCell ref="B55:B56"/>
    <mergeCell ref="C55:C56"/>
    <mergeCell ref="D55:D56"/>
    <mergeCell ref="E55:I55"/>
    <mergeCell ref="J55:N55"/>
    <mergeCell ref="AK55:AO55"/>
    <mergeCell ref="AP55:AT55"/>
    <mergeCell ref="AU55:AY55"/>
    <mergeCell ref="U52:AI52"/>
    <mergeCell ref="U55:Y55"/>
    <mergeCell ref="Z55:AD55"/>
    <mergeCell ref="AE55:AI55"/>
    <mergeCell ref="AK52:AY5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9"/>
  </sheetPr>
  <dimension ref="A1:BY202"/>
  <sheetViews>
    <sheetView topLeftCell="U4" zoomScale="70" zoomScaleNormal="70" workbookViewId="0">
      <selection activeCell="CB15" sqref="CB15"/>
    </sheetView>
  </sheetViews>
  <sheetFormatPr defaultColWidth="9.140625" defaultRowHeight="11.25" outlineLevelCol="1"/>
  <cols>
    <col min="1" max="2" width="2.7109375" style="15" hidden="1" customWidth="1"/>
    <col min="3" max="3" width="2.7109375" style="15" customWidth="1"/>
    <col min="4" max="4" width="16" style="15" customWidth="1"/>
    <col min="5" max="5" width="14.7109375" style="15" customWidth="1"/>
    <col min="6" max="7" width="17.7109375" style="16" hidden="1" customWidth="1"/>
    <col min="8" max="8" width="14.7109375" style="15" customWidth="1"/>
    <col min="9" max="9" width="12.7109375" style="17" customWidth="1"/>
    <col min="10" max="10" width="0.140625" style="15" customWidth="1"/>
    <col min="11" max="11" width="17.85546875" style="147" customWidth="1"/>
    <col min="12" max="14" width="17.85546875" style="146" hidden="1" customWidth="1"/>
    <col min="15" max="15" width="17.85546875" style="15" customWidth="1"/>
    <col min="16" max="16" width="15.7109375" style="15" customWidth="1"/>
    <col min="17" max="17" width="17.85546875" style="15" customWidth="1"/>
    <col min="18" max="18" width="15.7109375" style="15" customWidth="1"/>
    <col min="19" max="19" width="17.85546875" style="15" customWidth="1"/>
    <col min="20" max="21" width="15.7109375" style="15" customWidth="1"/>
    <col min="22" max="22" width="17.85546875" style="15" customWidth="1"/>
    <col min="23" max="25" width="15.7109375" style="15" customWidth="1"/>
    <col min="26" max="28" width="15.7109375" style="15" hidden="1" customWidth="1" outlineLevel="1"/>
    <col min="29" max="29" width="17.85546875" style="15" customWidth="1" collapsed="1"/>
    <col min="30" max="32" width="15.7109375" style="15" customWidth="1"/>
    <col min="33" max="35" width="15.7109375" style="15" hidden="1" customWidth="1" outlineLevel="1"/>
    <col min="36" max="36" width="15.7109375" style="15" customWidth="1" collapsed="1"/>
    <col min="37" max="37" width="15.7109375" style="15" customWidth="1"/>
    <col min="38" max="38" width="15.7109375" style="15" hidden="1" customWidth="1" outlineLevel="1"/>
    <col min="39" max="39" width="14.28515625" style="15" hidden="1" customWidth="1" outlineLevel="1"/>
    <col min="40" max="40" width="15.7109375" style="15" hidden="1" customWidth="1" outlineLevel="1"/>
    <col min="41" max="73" width="0.140625" style="15" hidden="1" customWidth="1" outlineLevel="1"/>
    <col min="74" max="74" width="10.42578125" style="15" hidden="1" customWidth="1" outlineLevel="1"/>
    <col min="75" max="75" width="2.7109375" style="15" hidden="1" customWidth="1" outlineLevel="1"/>
    <col min="76" max="76" width="25" style="15" customWidth="1" collapsed="1"/>
    <col min="77" max="16384" width="9.140625" style="15"/>
  </cols>
  <sheetData>
    <row r="1" spans="1:76" ht="1.5" hidden="1" customHeight="1">
      <c r="J1" s="17"/>
      <c r="K1" s="17"/>
      <c r="L1" s="17"/>
      <c r="M1" s="17"/>
      <c r="N1" s="17"/>
      <c r="O1" s="17"/>
      <c r="P1" s="17"/>
      <c r="Q1" s="17"/>
      <c r="R1" s="17"/>
      <c r="S1" s="17"/>
      <c r="T1" s="17"/>
      <c r="U1" s="17"/>
      <c r="V1" s="17"/>
      <c r="W1" s="17"/>
      <c r="X1" s="17"/>
      <c r="Y1" s="17"/>
      <c r="Z1" s="17" t="s">
        <v>217</v>
      </c>
      <c r="AA1" s="17" t="s">
        <v>217</v>
      </c>
      <c r="AB1" s="17"/>
      <c r="AC1" s="17"/>
      <c r="AD1" s="17"/>
      <c r="AG1" s="17" t="s">
        <v>217</v>
      </c>
      <c r="AH1" s="17" t="s">
        <v>217</v>
      </c>
      <c r="AI1" s="17"/>
      <c r="AL1" s="17" t="s">
        <v>217</v>
      </c>
      <c r="AM1" s="17" t="s">
        <v>217</v>
      </c>
      <c r="AN1" s="17"/>
    </row>
    <row r="2" spans="1:76" ht="1.5" hidden="1" customHeight="1">
      <c r="J2" s="17"/>
      <c r="K2" s="17"/>
      <c r="L2" s="17"/>
      <c r="M2" s="17"/>
      <c r="N2" s="17"/>
      <c r="O2" s="17"/>
      <c r="P2" s="17"/>
      <c r="Q2" s="17"/>
      <c r="R2" s="17"/>
      <c r="S2" s="17"/>
      <c r="T2" s="17"/>
      <c r="U2" s="17"/>
      <c r="V2" s="17"/>
      <c r="W2" s="17"/>
      <c r="X2" s="17"/>
      <c r="Y2" s="17"/>
      <c r="Z2" s="17"/>
      <c r="AB2" s="17"/>
      <c r="AC2" s="17"/>
      <c r="AD2" s="17"/>
      <c r="AI2" s="17"/>
      <c r="AN2" s="17"/>
    </row>
    <row r="3" spans="1:76" ht="1.5" hidden="1" customHeight="1">
      <c r="J3" s="17"/>
      <c r="K3" s="17"/>
      <c r="L3" s="17"/>
      <c r="M3" s="17"/>
      <c r="N3" s="17"/>
      <c r="O3" s="17"/>
      <c r="P3" s="17"/>
      <c r="Q3" s="17"/>
      <c r="R3" s="17"/>
      <c r="S3" s="17"/>
      <c r="T3" s="17"/>
      <c r="U3" s="17"/>
      <c r="V3" s="17"/>
      <c r="W3" s="17"/>
      <c r="X3" s="17"/>
      <c r="Y3" s="17"/>
      <c r="Z3" s="17"/>
      <c r="AB3" s="17"/>
      <c r="AC3" s="17"/>
      <c r="AD3" s="17"/>
      <c r="AI3" s="17"/>
      <c r="AN3" s="17"/>
    </row>
    <row r="4" spans="1:76" ht="1.5" customHeight="1">
      <c r="J4" s="17"/>
      <c r="K4" s="17"/>
      <c r="L4" s="17"/>
      <c r="M4" s="17"/>
      <c r="N4" s="17"/>
      <c r="O4" s="17"/>
      <c r="P4" s="17"/>
      <c r="Q4" s="17"/>
      <c r="R4" s="17"/>
      <c r="S4" s="17"/>
      <c r="T4" s="17"/>
      <c r="U4" s="17"/>
      <c r="V4" s="17"/>
      <c r="W4" s="17"/>
      <c r="X4" s="17"/>
      <c r="Y4" s="17"/>
      <c r="Z4" s="17"/>
      <c r="AB4" s="17"/>
      <c r="AC4" s="17"/>
      <c r="AD4" s="17"/>
      <c r="AI4" s="17"/>
      <c r="AN4" s="17"/>
    </row>
    <row r="5" spans="1:76" ht="1.5" customHeight="1">
      <c r="J5" s="17"/>
      <c r="K5" s="17"/>
      <c r="L5" s="17"/>
      <c r="M5" s="17"/>
      <c r="N5" s="17"/>
      <c r="O5" s="17"/>
      <c r="P5" s="17"/>
      <c r="Q5" s="17"/>
      <c r="R5" s="17"/>
      <c r="S5" s="17"/>
      <c r="T5" s="17"/>
      <c r="U5" s="17"/>
      <c r="V5" s="17"/>
      <c r="W5" s="17"/>
      <c r="X5" s="17"/>
      <c r="Y5" s="17"/>
      <c r="Z5" s="17"/>
      <c r="AB5" s="17"/>
      <c r="AC5" s="17"/>
      <c r="AD5" s="17"/>
      <c r="AI5" s="17"/>
      <c r="AN5" s="17"/>
    </row>
    <row r="6" spans="1:76" s="22" customFormat="1" ht="24" customHeight="1">
      <c r="A6" s="18"/>
      <c r="B6" s="19"/>
      <c r="C6" s="20"/>
      <c r="D6" s="2201" t="s">
        <v>11</v>
      </c>
      <c r="E6" s="2201"/>
      <c r="F6" s="2202"/>
      <c r="G6" s="2202"/>
      <c r="H6" s="21"/>
      <c r="L6" s="21"/>
      <c r="M6" s="21"/>
      <c r="N6" s="21"/>
      <c r="AW6" s="23"/>
    </row>
    <row r="7" spans="1:76" s="23" customFormat="1" ht="30.75" customHeight="1">
      <c r="A7" s="24"/>
      <c r="B7" s="19"/>
      <c r="C7" s="25"/>
      <c r="D7" s="2203" t="s">
        <v>90</v>
      </c>
      <c r="E7" s="2203"/>
      <c r="F7" s="2203"/>
      <c r="G7" s="2203"/>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03"/>
      <c r="BL7" s="2203"/>
      <c r="BM7" s="2203"/>
      <c r="BN7" s="2203"/>
      <c r="BO7" s="2203"/>
      <c r="BP7" s="2203"/>
      <c r="BQ7" s="2203"/>
      <c r="BR7" s="2203"/>
      <c r="BS7" s="2203"/>
      <c r="BT7" s="2203"/>
    </row>
    <row r="8" spans="1:76" s="23" customFormat="1" ht="5.25" customHeight="1">
      <c r="A8" s="24"/>
      <c r="B8" s="19"/>
      <c r="C8" s="25"/>
      <c r="D8" s="26"/>
      <c r="E8" s="26"/>
      <c r="F8" s="26"/>
      <c r="G8" s="26"/>
      <c r="H8" s="27"/>
      <c r="L8" s="28"/>
      <c r="M8" s="28"/>
      <c r="N8" s="28"/>
    </row>
    <row r="9" spans="1:76" s="29" customFormat="1" ht="1.5" customHeight="1">
      <c r="C9" s="30"/>
      <c r="D9" s="31"/>
      <c r="E9" s="30"/>
      <c r="F9" s="30"/>
      <c r="G9" s="30"/>
      <c r="H9" s="30"/>
      <c r="I9" s="32"/>
      <c r="J9" s="30"/>
      <c r="K9" s="32">
        <v>2025</v>
      </c>
      <c r="L9" s="33">
        <v>2026</v>
      </c>
      <c r="M9" s="33">
        <v>2026</v>
      </c>
      <c r="N9" s="33">
        <v>2026</v>
      </c>
      <c r="O9" s="32">
        <v>2026</v>
      </c>
      <c r="P9" s="32">
        <v>2026</v>
      </c>
      <c r="Q9" s="32">
        <v>2026</v>
      </c>
      <c r="R9" s="32">
        <v>2026</v>
      </c>
      <c r="S9" s="32">
        <v>2026</v>
      </c>
      <c r="T9" s="32">
        <v>2026</v>
      </c>
      <c r="U9" s="32"/>
      <c r="V9" s="32">
        <v>2026</v>
      </c>
      <c r="W9" s="32">
        <v>2026</v>
      </c>
      <c r="X9" s="32">
        <v>2026</v>
      </c>
      <c r="Y9" s="32">
        <v>2026</v>
      </c>
      <c r="Z9" s="32">
        <v>2026</v>
      </c>
      <c r="AA9" s="32">
        <v>2026</v>
      </c>
      <c r="AB9" s="32"/>
      <c r="AC9" s="32">
        <v>2026</v>
      </c>
      <c r="AD9" s="32">
        <v>2026</v>
      </c>
      <c r="AE9" s="32">
        <v>2028</v>
      </c>
      <c r="AF9" s="32">
        <v>2028</v>
      </c>
      <c r="AG9" s="32">
        <v>2026</v>
      </c>
      <c r="AH9" s="32">
        <v>2026</v>
      </c>
      <c r="AI9" s="32"/>
      <c r="AJ9" s="32">
        <v>2028</v>
      </c>
      <c r="AK9" s="32">
        <v>2028</v>
      </c>
      <c r="AL9" s="32">
        <v>2026</v>
      </c>
      <c r="AM9" s="32">
        <v>2026</v>
      </c>
      <c r="AN9" s="32"/>
      <c r="AO9" s="32">
        <v>2029</v>
      </c>
      <c r="AP9" s="32">
        <v>2029</v>
      </c>
      <c r="AQ9" s="32">
        <v>2030</v>
      </c>
      <c r="AR9" s="32">
        <v>2030</v>
      </c>
      <c r="AS9" s="32">
        <v>2030</v>
      </c>
      <c r="AT9" s="32">
        <v>2030</v>
      </c>
      <c r="AU9" s="32">
        <v>2030</v>
      </c>
      <c r="AV9" s="32">
        <v>2030</v>
      </c>
      <c r="AW9" s="32">
        <v>2031</v>
      </c>
      <c r="AX9" s="32">
        <v>2031</v>
      </c>
      <c r="AY9" s="32">
        <v>2031</v>
      </c>
      <c r="AZ9" s="32">
        <v>2031</v>
      </c>
      <c r="BA9" s="32">
        <v>2031</v>
      </c>
      <c r="BB9" s="32">
        <v>2031</v>
      </c>
      <c r="BC9" s="32">
        <v>2032</v>
      </c>
      <c r="BD9" s="32">
        <v>2032</v>
      </c>
      <c r="BE9" s="32">
        <v>2032</v>
      </c>
      <c r="BF9" s="32">
        <v>2032</v>
      </c>
      <c r="BG9" s="32">
        <v>2032</v>
      </c>
      <c r="BH9" s="32">
        <v>2032</v>
      </c>
      <c r="BI9" s="32">
        <v>2033</v>
      </c>
      <c r="BJ9" s="32">
        <v>2033</v>
      </c>
      <c r="BK9" s="32">
        <v>2033</v>
      </c>
      <c r="BL9" s="32">
        <v>2033</v>
      </c>
      <c r="BM9" s="32">
        <v>2033</v>
      </c>
      <c r="BN9" s="32">
        <v>2033</v>
      </c>
      <c r="BO9" s="32">
        <v>2034</v>
      </c>
      <c r="BP9" s="32">
        <v>2034</v>
      </c>
      <c r="BQ9" s="32">
        <v>2034</v>
      </c>
      <c r="BR9" s="32">
        <v>2034</v>
      </c>
      <c r="BS9" s="32">
        <v>2034</v>
      </c>
      <c r="BT9" s="32">
        <v>2034</v>
      </c>
      <c r="BU9" s="30"/>
      <c r="BV9" s="30"/>
      <c r="BW9" s="30"/>
    </row>
    <row r="10" spans="1:76" s="34" customFormat="1" ht="1.5" customHeight="1">
      <c r="D10" s="35"/>
      <c r="E10" s="35"/>
      <c r="F10" s="35"/>
      <c r="G10" s="35"/>
      <c r="H10" s="35"/>
      <c r="I10" s="35"/>
      <c r="J10" s="36"/>
      <c r="L10" s="37"/>
      <c r="M10" s="37"/>
      <c r="N10" s="37"/>
    </row>
    <row r="11" spans="1:76" s="34" customFormat="1" ht="1.5" customHeight="1">
      <c r="D11" s="38"/>
      <c r="E11" s="38"/>
      <c r="F11" s="38"/>
      <c r="G11" s="38"/>
      <c r="H11" s="38"/>
      <c r="I11" s="38"/>
      <c r="L11" s="37"/>
      <c r="M11" s="37"/>
      <c r="N11" s="37"/>
    </row>
    <row r="12" spans="1:76" ht="1.5" customHeight="1">
      <c r="C12" s="39"/>
      <c r="D12" s="39"/>
      <c r="E12" s="39"/>
      <c r="F12" s="40"/>
      <c r="G12" s="40"/>
      <c r="H12" s="39"/>
      <c r="I12" s="41"/>
      <c r="J12" s="39"/>
      <c r="K12" s="42"/>
      <c r="L12" s="43"/>
      <c r="M12" s="44"/>
      <c r="N12" s="44"/>
      <c r="O12" s="42"/>
      <c r="P12" s="39"/>
      <c r="Q12" s="42"/>
      <c r="R12" s="39"/>
      <c r="S12" s="42"/>
      <c r="T12" s="39"/>
      <c r="U12" s="39"/>
      <c r="V12" s="42"/>
      <c r="W12" s="39"/>
      <c r="X12" s="42"/>
      <c r="Y12" s="39"/>
      <c r="Z12" s="42"/>
      <c r="AA12" s="39"/>
      <c r="AB12" s="39"/>
      <c r="AC12" s="42"/>
      <c r="AD12" s="39"/>
      <c r="AE12" s="42"/>
      <c r="AF12" s="39"/>
      <c r="AG12" s="42"/>
      <c r="AH12" s="39"/>
      <c r="AI12" s="39"/>
      <c r="AJ12" s="42"/>
      <c r="AK12" s="39"/>
      <c r="AL12" s="42"/>
      <c r="AM12" s="39"/>
      <c r="AN12" s="39"/>
      <c r="AO12" s="39"/>
      <c r="AP12" s="39"/>
      <c r="AQ12" s="42"/>
      <c r="AR12" s="39"/>
      <c r="AS12" s="39"/>
      <c r="AT12" s="42"/>
      <c r="AU12" s="39"/>
      <c r="AV12" s="39"/>
      <c r="AW12" s="42"/>
      <c r="AX12" s="39"/>
      <c r="AY12" s="39"/>
      <c r="AZ12" s="42"/>
      <c r="BA12" s="39"/>
      <c r="BB12" s="39"/>
      <c r="BC12" s="42"/>
      <c r="BD12" s="39"/>
      <c r="BE12" s="39"/>
      <c r="BF12" s="42"/>
      <c r="BG12" s="39"/>
      <c r="BH12" s="39"/>
      <c r="BI12" s="42"/>
      <c r="BJ12" s="39"/>
      <c r="BK12" s="39"/>
      <c r="BL12" s="42"/>
      <c r="BM12" s="39"/>
      <c r="BN12" s="39"/>
      <c r="BO12" s="42"/>
      <c r="BP12" s="39"/>
      <c r="BQ12" s="39"/>
      <c r="BR12" s="42"/>
      <c r="BS12" s="39"/>
      <c r="BT12" s="39"/>
      <c r="BU12" s="39"/>
      <c r="BV12" s="39"/>
      <c r="BW12" s="39"/>
      <c r="BX12" s="45"/>
    </row>
    <row r="13" spans="1:76" ht="19.5" customHeight="1">
      <c r="C13" s="39"/>
      <c r="D13" s="2204" t="s">
        <v>91</v>
      </c>
      <c r="E13" s="2207" t="s">
        <v>92</v>
      </c>
      <c r="F13" s="2210"/>
      <c r="G13" s="2210"/>
      <c r="H13" s="2207" t="s">
        <v>93</v>
      </c>
      <c r="I13" s="2213" t="s">
        <v>94</v>
      </c>
      <c r="J13" s="2216"/>
      <c r="K13" s="2243" t="s">
        <v>95</v>
      </c>
      <c r="L13" s="46"/>
      <c r="M13" s="46"/>
      <c r="N13" s="46"/>
      <c r="O13" s="2219" t="str">
        <f>"ТБР, "&amp;'0. Анкета'!C15-3&amp;" год"</f>
        <v>ТБР, 2021 год</v>
      </c>
      <c r="P13" s="2220"/>
      <c r="Q13" s="2219" t="str">
        <f>"Факт, "&amp;'0. Анкета'!C15-3&amp;" год"</f>
        <v>Факт, 2021 год</v>
      </c>
      <c r="R13" s="2220"/>
      <c r="S13" s="2227" t="str">
        <f>'0. Анкета'!C15-3&amp;",  факт Версия регулятора"</f>
        <v>2021,  факт Версия регулятора</v>
      </c>
      <c r="T13" s="2245"/>
      <c r="U13" s="2221" t="str">
        <f>"Обоснование «Регулятора» о внесенных в предложения «Организации» изменениях
(факт "&amp;'0. Анкета'!C15-3&amp;")"</f>
        <v>Обоснование «Регулятора» о внесенных в предложения «Организации» изменениях
(факт 2021)</v>
      </c>
      <c r="V13" s="2219" t="str">
        <f>"ТБР, "&amp;'0. Анкета'!C15-2&amp;" год"</f>
        <v>ТБР, 2022 год</v>
      </c>
      <c r="W13" s="2220"/>
      <c r="X13" s="2246" t="str">
        <f>'0. Анкета'!C15-2&amp;",  факт"</f>
        <v>2022,  факт</v>
      </c>
      <c r="Y13" s="2247"/>
      <c r="Z13" s="2227" t="str">
        <f>'0. Анкета'!C15-2&amp;",  факт Версия регулятора"</f>
        <v>2022,  факт Версия регулятора</v>
      </c>
      <c r="AA13" s="2245"/>
      <c r="AB13" s="2221" t="str">
        <f>"Обоснование «Регулятора» о внесенных в предложения «Организации» изменениях
(факт "&amp;'0. Анкета'!C15-2&amp;")"</f>
        <v>Обоснование «Регулятора» о внесенных в предложения «Организации» изменениях
(факт 2022)</v>
      </c>
      <c r="AC13" s="2219" t="str">
        <f>"ТБР, "&amp;'0. Анкета'!C15-1&amp;" год"</f>
        <v>ТБР, 2023 год</v>
      </c>
      <c r="AD13" s="2220"/>
      <c r="AE13" s="2248" t="str">
        <f>'0. Анкета'!C15-1&amp;",  ожидаемый"</f>
        <v>2023,  ожидаемый</v>
      </c>
      <c r="AF13" s="2248"/>
      <c r="AG13" s="2227" t="str">
        <f>'0. Анкета'!C15-1&amp;",  Версия регулятора"</f>
        <v>2023,  Версия регулятора</v>
      </c>
      <c r="AH13" s="2245"/>
      <c r="AI13" s="2221" t="str">
        <f>"Обоснование «Регулятора» о внесенных в предложения «Организации» изменениях
(ожидание "&amp;'0. Анкета'!C15-1&amp;")"</f>
        <v>Обоснование «Регулятора» о внесенных в предложения «Организации» изменениях
(ожидание 2023)</v>
      </c>
      <c r="AJ13" s="2219" t="str">
        <f>'0. Анкета'!C15&amp;",  предложение ТСО"</f>
        <v>2024,  предложение ТСО</v>
      </c>
      <c r="AK13" s="2226"/>
      <c r="AL13" s="2227" t="str">
        <f>'0. Анкета'!C15&amp;",  Версия регулятора"</f>
        <v>2024,  Версия регулятора</v>
      </c>
      <c r="AM13" s="2228"/>
      <c r="AN13" s="2221" t="str">
        <f>"Обоснование «Регулятора» о внесенных в предложения «Организации» изменениях
(план "&amp;'0. Анкета'!C15&amp;")"</f>
        <v>Обоснование «Регулятора» о внесенных в предложения «Организации» изменениях
(план 2024)</v>
      </c>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39"/>
      <c r="BV13" s="39"/>
      <c r="BW13" s="48"/>
      <c r="BX13" s="2229" t="s">
        <v>96</v>
      </c>
    </row>
    <row r="14" spans="1:76" ht="64.5" customHeight="1">
      <c r="C14" s="39"/>
      <c r="D14" s="2205"/>
      <c r="E14" s="2208"/>
      <c r="F14" s="2211"/>
      <c r="G14" s="2211"/>
      <c r="H14" s="2208"/>
      <c r="I14" s="2214"/>
      <c r="J14" s="2217"/>
      <c r="K14" s="2244"/>
      <c r="L14" s="49"/>
      <c r="M14" s="49"/>
      <c r="N14" s="49"/>
      <c r="O14" s="1861" t="s">
        <v>97</v>
      </c>
      <c r="P14" s="1862" t="s">
        <v>98</v>
      </c>
      <c r="Q14" s="1861" t="s">
        <v>97</v>
      </c>
      <c r="R14" s="1862" t="s">
        <v>98</v>
      </c>
      <c r="S14" s="50" t="s">
        <v>97</v>
      </c>
      <c r="T14" s="51" t="s">
        <v>98</v>
      </c>
      <c r="U14" s="2222"/>
      <c r="V14" s="1861" t="s">
        <v>97</v>
      </c>
      <c r="W14" s="1862" t="s">
        <v>98</v>
      </c>
      <c r="X14" s="52" t="s">
        <v>97</v>
      </c>
      <c r="Y14" s="50" t="s">
        <v>98</v>
      </c>
      <c r="Z14" s="51" t="s">
        <v>97</v>
      </c>
      <c r="AA14" s="51" t="s">
        <v>98</v>
      </c>
      <c r="AB14" s="2222"/>
      <c r="AC14" s="1861" t="s">
        <v>97</v>
      </c>
      <c r="AD14" s="1862" t="s">
        <v>98</v>
      </c>
      <c r="AE14" s="51" t="s">
        <v>97</v>
      </c>
      <c r="AF14" s="51" t="s">
        <v>98</v>
      </c>
      <c r="AG14" s="51" t="s">
        <v>97</v>
      </c>
      <c r="AH14" s="51" t="s">
        <v>98</v>
      </c>
      <c r="AI14" s="2222"/>
      <c r="AJ14" s="51" t="s">
        <v>97</v>
      </c>
      <c r="AK14" s="51" t="s">
        <v>98</v>
      </c>
      <c r="AL14" s="51" t="s">
        <v>97</v>
      </c>
      <c r="AM14" s="51" t="s">
        <v>98</v>
      </c>
      <c r="AN14" s="2222"/>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4"/>
      <c r="BV14" s="39"/>
      <c r="BW14" s="48"/>
      <c r="BX14" s="2230"/>
    </row>
    <row r="15" spans="1:76">
      <c r="C15" s="39"/>
      <c r="D15" s="2206"/>
      <c r="E15" s="2209"/>
      <c r="F15" s="2212"/>
      <c r="G15" s="2212"/>
      <c r="H15" s="2209"/>
      <c r="I15" s="2215"/>
      <c r="J15" s="2218"/>
      <c r="K15" s="52" t="s">
        <v>99</v>
      </c>
      <c r="L15" s="55"/>
      <c r="M15" s="55"/>
      <c r="N15" s="55"/>
      <c r="O15" s="1861" t="s">
        <v>100</v>
      </c>
      <c r="P15" s="1862" t="s">
        <v>101</v>
      </c>
      <c r="Q15" s="1861" t="s">
        <v>100</v>
      </c>
      <c r="R15" s="1862" t="s">
        <v>101</v>
      </c>
      <c r="S15" s="50" t="s">
        <v>100</v>
      </c>
      <c r="T15" s="51" t="s">
        <v>101</v>
      </c>
      <c r="U15" s="2223"/>
      <c r="V15" s="1861" t="s">
        <v>100</v>
      </c>
      <c r="W15" s="1862" t="s">
        <v>101</v>
      </c>
      <c r="X15" s="56" t="s">
        <v>100</v>
      </c>
      <c r="Y15" s="51" t="s">
        <v>101</v>
      </c>
      <c r="Z15" s="51" t="s">
        <v>100</v>
      </c>
      <c r="AA15" s="51" t="s">
        <v>101</v>
      </c>
      <c r="AB15" s="2223"/>
      <c r="AC15" s="1861" t="s">
        <v>100</v>
      </c>
      <c r="AD15" s="1862" t="s">
        <v>101</v>
      </c>
      <c r="AE15" s="51" t="s">
        <v>100</v>
      </c>
      <c r="AF15" s="51" t="s">
        <v>101</v>
      </c>
      <c r="AG15" s="51" t="s">
        <v>100</v>
      </c>
      <c r="AH15" s="51" t="s">
        <v>101</v>
      </c>
      <c r="AI15" s="2223"/>
      <c r="AJ15" s="51" t="s">
        <v>100</v>
      </c>
      <c r="AK15" s="51" t="s">
        <v>101</v>
      </c>
      <c r="AL15" s="51" t="s">
        <v>100</v>
      </c>
      <c r="AM15" s="51" t="s">
        <v>101</v>
      </c>
      <c r="AN15" s="2223"/>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4"/>
      <c r="BV15" s="39"/>
      <c r="BW15" s="48"/>
      <c r="BX15" s="2230"/>
    </row>
    <row r="16" spans="1:76" ht="1.5" customHeight="1">
      <c r="C16" s="39"/>
      <c r="D16" s="57"/>
      <c r="E16" s="57"/>
      <c r="F16" s="58"/>
      <c r="G16" s="58"/>
      <c r="H16" s="57"/>
      <c r="I16" s="57"/>
      <c r="J16" s="57"/>
      <c r="K16" s="59"/>
      <c r="L16" s="59"/>
      <c r="M16" s="59"/>
      <c r="N16" s="59"/>
      <c r="O16" s="59"/>
      <c r="P16" s="59"/>
      <c r="Q16" s="59"/>
      <c r="R16" s="59"/>
      <c r="S16" s="59"/>
      <c r="T16" s="59"/>
      <c r="U16" s="1624"/>
      <c r="V16" s="59"/>
      <c r="W16" s="59"/>
      <c r="X16" s="59"/>
      <c r="Y16" s="59"/>
      <c r="Z16" s="59"/>
      <c r="AA16" s="59"/>
      <c r="AB16" s="1624"/>
      <c r="AC16" s="59"/>
      <c r="AD16" s="59"/>
      <c r="AE16" s="59"/>
      <c r="AF16" s="59"/>
      <c r="AG16" s="59"/>
      <c r="AH16" s="59"/>
      <c r="AI16" s="1624"/>
      <c r="AJ16" s="59"/>
      <c r="AK16" s="59"/>
      <c r="AL16" s="60" t="str">
        <f>AL12 &amp; ".1"</f>
        <v>.1</v>
      </c>
      <c r="AM16" s="61" t="str">
        <f>AL12 &amp; ".2"</f>
        <v>.2</v>
      </c>
      <c r="AN16" s="1624"/>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54"/>
      <c r="BV16" s="39"/>
      <c r="BW16" s="48"/>
      <c r="BX16" s="2231"/>
    </row>
    <row r="17" spans="3:76" ht="12" customHeight="1">
      <c r="C17" s="39"/>
      <c r="D17" s="2232" t="s">
        <v>102</v>
      </c>
      <c r="E17" s="50">
        <v>1150</v>
      </c>
      <c r="F17" s="63"/>
      <c r="G17" s="62"/>
      <c r="H17" s="51" t="s">
        <v>103</v>
      </c>
      <c r="I17" s="50" t="s">
        <v>104</v>
      </c>
      <c r="J17" s="64"/>
      <c r="K17" s="65">
        <v>0</v>
      </c>
      <c r="L17" s="66"/>
      <c r="M17" s="66"/>
      <c r="N17" s="67"/>
      <c r="O17" s="68">
        <v>0</v>
      </c>
      <c r="P17" s="69">
        <f t="shared" ref="P17:P36" si="0">$K17*O17/100</f>
        <v>0</v>
      </c>
      <c r="Q17" s="68">
        <v>0</v>
      </c>
      <c r="R17" s="1620">
        <f t="shared" ref="R17:R36" si="1">$K17*Q17/100</f>
        <v>0</v>
      </c>
      <c r="S17" s="68">
        <v>0</v>
      </c>
      <c r="T17" s="69">
        <f t="shared" ref="T17:T36" si="2">$K17*S17/100</f>
        <v>0</v>
      </c>
      <c r="U17" s="1625"/>
      <c r="V17" s="68">
        <v>0</v>
      </c>
      <c r="W17" s="69">
        <f t="shared" ref="W17:W36" si="3">$K17*V17/100</f>
        <v>0</v>
      </c>
      <c r="X17" s="68">
        <v>0</v>
      </c>
      <c r="Y17" s="70">
        <f t="shared" ref="Y17:Y36" si="4">$K17*X17/100</f>
        <v>0</v>
      </c>
      <c r="Z17" s="71"/>
      <c r="AA17" s="70">
        <f t="shared" ref="AA17:AA36" si="5">$K17*Z17/100</f>
        <v>0</v>
      </c>
      <c r="AB17" s="1625"/>
      <c r="AC17" s="68">
        <v>0</v>
      </c>
      <c r="AD17" s="69">
        <f t="shared" ref="AD17:AD36" si="6">$K17*AC17/100</f>
        <v>0</v>
      </c>
      <c r="AE17" s="68">
        <v>0</v>
      </c>
      <c r="AF17" s="70">
        <f t="shared" ref="AF17:AF36" si="7">$K17*AE17/100</f>
        <v>0</v>
      </c>
      <c r="AG17" s="71"/>
      <c r="AH17" s="70">
        <f t="shared" ref="AH17:AH36" si="8">$K17*AG17/100</f>
        <v>0</v>
      </c>
      <c r="AI17" s="1625"/>
      <c r="AJ17" s="68">
        <v>0</v>
      </c>
      <c r="AK17" s="70">
        <f t="shared" ref="AK17:AK36" si="9">$K17*AJ17/100</f>
        <v>0</v>
      </c>
      <c r="AL17" s="71"/>
      <c r="AM17" s="72">
        <f t="shared" ref="AM17:AM36" si="10">$K17*AL17/100</f>
        <v>0</v>
      </c>
      <c r="AN17" s="1625"/>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54"/>
      <c r="BV17" s="39"/>
      <c r="BW17" s="48"/>
      <c r="BX17" s="73"/>
    </row>
    <row r="18" spans="3:76" ht="12" customHeight="1">
      <c r="C18" s="39"/>
      <c r="D18" s="2233"/>
      <c r="E18" s="50">
        <v>750</v>
      </c>
      <c r="F18" s="63"/>
      <c r="G18" s="62"/>
      <c r="H18" s="51">
        <v>1</v>
      </c>
      <c r="I18" s="50" t="s">
        <v>104</v>
      </c>
      <c r="J18" s="64"/>
      <c r="K18" s="65">
        <v>0</v>
      </c>
      <c r="L18" s="75"/>
      <c r="M18" s="75"/>
      <c r="N18" s="76"/>
      <c r="O18" s="77">
        <v>0</v>
      </c>
      <c r="P18" s="69">
        <f t="shared" si="0"/>
        <v>0</v>
      </c>
      <c r="Q18" s="77">
        <v>0</v>
      </c>
      <c r="R18" s="1620">
        <f t="shared" si="1"/>
        <v>0</v>
      </c>
      <c r="S18" s="77">
        <v>0</v>
      </c>
      <c r="T18" s="69">
        <f t="shared" si="2"/>
        <v>0</v>
      </c>
      <c r="U18" s="1625"/>
      <c r="V18" s="77">
        <v>0</v>
      </c>
      <c r="W18" s="69">
        <f t="shared" si="3"/>
        <v>0</v>
      </c>
      <c r="X18" s="77">
        <v>0</v>
      </c>
      <c r="Y18" s="72">
        <f t="shared" si="4"/>
        <v>0</v>
      </c>
      <c r="Z18" s="78"/>
      <c r="AA18" s="72">
        <f t="shared" si="5"/>
        <v>0</v>
      </c>
      <c r="AB18" s="1625"/>
      <c r="AC18" s="77">
        <v>0</v>
      </c>
      <c r="AD18" s="69">
        <f t="shared" si="6"/>
        <v>0</v>
      </c>
      <c r="AE18" s="77">
        <v>0</v>
      </c>
      <c r="AF18" s="72">
        <f t="shared" si="7"/>
        <v>0</v>
      </c>
      <c r="AG18" s="78"/>
      <c r="AH18" s="72">
        <f t="shared" si="8"/>
        <v>0</v>
      </c>
      <c r="AI18" s="1625"/>
      <c r="AJ18" s="77">
        <v>0</v>
      </c>
      <c r="AK18" s="72">
        <f t="shared" si="9"/>
        <v>0</v>
      </c>
      <c r="AL18" s="78"/>
      <c r="AM18" s="72">
        <f t="shared" si="10"/>
        <v>0</v>
      </c>
      <c r="AN18" s="1625"/>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54"/>
      <c r="BV18" s="39"/>
      <c r="BW18" s="48"/>
      <c r="BX18" s="73"/>
    </row>
    <row r="19" spans="3:76" ht="17.25" customHeight="1">
      <c r="C19" s="39"/>
      <c r="D19" s="2233"/>
      <c r="E19" s="2235" t="s">
        <v>105</v>
      </c>
      <c r="F19" s="79" t="s">
        <v>106</v>
      </c>
      <c r="G19" s="80">
        <v>1</v>
      </c>
      <c r="H19" s="2237">
        <v>1</v>
      </c>
      <c r="I19" s="81" t="s">
        <v>104</v>
      </c>
      <c r="J19" s="82" t="s">
        <v>107</v>
      </c>
      <c r="K19" s="65">
        <v>0</v>
      </c>
      <c r="L19" s="75"/>
      <c r="M19" s="75"/>
      <c r="N19" s="76"/>
      <c r="O19" s="77">
        <v>0</v>
      </c>
      <c r="P19" s="69">
        <f t="shared" si="0"/>
        <v>0</v>
      </c>
      <c r="Q19" s="77">
        <v>0</v>
      </c>
      <c r="R19" s="1620">
        <f t="shared" si="1"/>
        <v>0</v>
      </c>
      <c r="S19" s="77">
        <v>0</v>
      </c>
      <c r="T19" s="69">
        <f t="shared" si="2"/>
        <v>0</v>
      </c>
      <c r="U19" s="1625"/>
      <c r="V19" s="77">
        <v>0</v>
      </c>
      <c r="W19" s="69">
        <f t="shared" si="3"/>
        <v>0</v>
      </c>
      <c r="X19" s="77">
        <v>0</v>
      </c>
      <c r="Y19" s="72">
        <f t="shared" si="4"/>
        <v>0</v>
      </c>
      <c r="Z19" s="78"/>
      <c r="AA19" s="72">
        <f t="shared" si="5"/>
        <v>0</v>
      </c>
      <c r="AB19" s="1625"/>
      <c r="AC19" s="77">
        <v>0</v>
      </c>
      <c r="AD19" s="69">
        <f t="shared" si="6"/>
        <v>0</v>
      </c>
      <c r="AE19" s="77">
        <v>0</v>
      </c>
      <c r="AF19" s="72">
        <f t="shared" si="7"/>
        <v>0</v>
      </c>
      <c r="AG19" s="78"/>
      <c r="AH19" s="72">
        <f t="shared" si="8"/>
        <v>0</v>
      </c>
      <c r="AI19" s="1625"/>
      <c r="AJ19" s="77">
        <v>0</v>
      </c>
      <c r="AK19" s="72">
        <f t="shared" si="9"/>
        <v>0</v>
      </c>
      <c r="AL19" s="78"/>
      <c r="AM19" s="72">
        <f t="shared" si="10"/>
        <v>0</v>
      </c>
      <c r="AN19" s="1625"/>
      <c r="AO19" s="83"/>
      <c r="AP19" s="84"/>
      <c r="AQ19" s="83"/>
      <c r="AR19" s="83"/>
      <c r="AS19" s="84"/>
      <c r="AT19" s="83"/>
      <c r="AU19" s="83"/>
      <c r="AV19" s="84"/>
      <c r="AW19" s="83"/>
      <c r="AX19" s="83"/>
      <c r="AY19" s="84"/>
      <c r="AZ19" s="83"/>
      <c r="BA19" s="83"/>
      <c r="BB19" s="84"/>
      <c r="BC19" s="83"/>
      <c r="BD19" s="83"/>
      <c r="BE19" s="84"/>
      <c r="BF19" s="83"/>
      <c r="BG19" s="83"/>
      <c r="BH19" s="84"/>
      <c r="BI19" s="83"/>
      <c r="BJ19" s="83"/>
      <c r="BK19" s="84"/>
      <c r="BL19" s="83"/>
      <c r="BM19" s="83"/>
      <c r="BN19" s="84"/>
      <c r="BO19" s="83"/>
      <c r="BP19" s="83"/>
      <c r="BQ19" s="84"/>
      <c r="BR19" s="83"/>
      <c r="BS19" s="83"/>
      <c r="BT19" s="84"/>
      <c r="BU19" s="54"/>
      <c r="BV19" s="39"/>
      <c r="BW19" s="48"/>
      <c r="BX19" s="73"/>
    </row>
    <row r="20" spans="3:76" ht="17.25" customHeight="1">
      <c r="C20" s="39"/>
      <c r="D20" s="2233"/>
      <c r="E20" s="2236"/>
      <c r="F20" s="80" t="s">
        <v>106</v>
      </c>
      <c r="G20" s="80">
        <v>1</v>
      </c>
      <c r="H20" s="2238"/>
      <c r="I20" s="85" t="s">
        <v>108</v>
      </c>
      <c r="J20" s="82" t="s">
        <v>109</v>
      </c>
      <c r="K20" s="65">
        <v>0</v>
      </c>
      <c r="L20" s="75"/>
      <c r="M20" s="75"/>
      <c r="N20" s="76"/>
      <c r="O20" s="77">
        <v>0</v>
      </c>
      <c r="P20" s="69">
        <f t="shared" si="0"/>
        <v>0</v>
      </c>
      <c r="Q20" s="77">
        <v>0</v>
      </c>
      <c r="R20" s="1620">
        <f t="shared" si="1"/>
        <v>0</v>
      </c>
      <c r="S20" s="77">
        <v>0</v>
      </c>
      <c r="T20" s="69">
        <f t="shared" si="2"/>
        <v>0</v>
      </c>
      <c r="U20" s="1625"/>
      <c r="V20" s="77">
        <v>0</v>
      </c>
      <c r="W20" s="69">
        <f t="shared" si="3"/>
        <v>0</v>
      </c>
      <c r="X20" s="77">
        <v>0</v>
      </c>
      <c r="Y20" s="72">
        <f t="shared" si="4"/>
        <v>0</v>
      </c>
      <c r="Z20" s="86"/>
      <c r="AA20" s="72">
        <f t="shared" si="5"/>
        <v>0</v>
      </c>
      <c r="AB20" s="1625"/>
      <c r="AC20" s="77">
        <v>0</v>
      </c>
      <c r="AD20" s="69">
        <f t="shared" si="6"/>
        <v>0</v>
      </c>
      <c r="AE20" s="77">
        <v>0</v>
      </c>
      <c r="AF20" s="72">
        <f t="shared" si="7"/>
        <v>0</v>
      </c>
      <c r="AG20" s="86"/>
      <c r="AH20" s="72">
        <f t="shared" si="8"/>
        <v>0</v>
      </c>
      <c r="AI20" s="1625"/>
      <c r="AJ20" s="77">
        <v>0</v>
      </c>
      <c r="AK20" s="72">
        <f t="shared" si="9"/>
        <v>0</v>
      </c>
      <c r="AL20" s="86"/>
      <c r="AM20" s="72">
        <f t="shared" si="10"/>
        <v>0</v>
      </c>
      <c r="AN20" s="1625"/>
      <c r="AO20" s="83"/>
      <c r="AP20" s="84"/>
      <c r="AQ20" s="83"/>
      <c r="AR20" s="83"/>
      <c r="AS20" s="84"/>
      <c r="AT20" s="83"/>
      <c r="AU20" s="83"/>
      <c r="AV20" s="84"/>
      <c r="AW20" s="83"/>
      <c r="AX20" s="83"/>
      <c r="AY20" s="84"/>
      <c r="AZ20" s="83"/>
      <c r="BA20" s="83"/>
      <c r="BB20" s="84"/>
      <c r="BC20" s="83"/>
      <c r="BD20" s="83"/>
      <c r="BE20" s="84"/>
      <c r="BF20" s="83"/>
      <c r="BG20" s="83"/>
      <c r="BH20" s="84"/>
      <c r="BI20" s="83"/>
      <c r="BJ20" s="83"/>
      <c r="BK20" s="84"/>
      <c r="BL20" s="83"/>
      <c r="BM20" s="83"/>
      <c r="BN20" s="84"/>
      <c r="BO20" s="83"/>
      <c r="BP20" s="83"/>
      <c r="BQ20" s="84"/>
      <c r="BR20" s="83"/>
      <c r="BS20" s="83"/>
      <c r="BT20" s="84"/>
      <c r="BU20" s="54"/>
      <c r="BV20" s="39"/>
      <c r="BW20" s="48"/>
      <c r="BX20" s="73"/>
    </row>
    <row r="21" spans="3:76" ht="17.25" customHeight="1">
      <c r="C21" s="39"/>
      <c r="D21" s="2233"/>
      <c r="E21" s="2235" t="s">
        <v>110</v>
      </c>
      <c r="F21" s="79">
        <v>330</v>
      </c>
      <c r="G21" s="80">
        <v>1</v>
      </c>
      <c r="H21" s="2237" t="s">
        <v>111</v>
      </c>
      <c r="I21" s="81" t="s">
        <v>104</v>
      </c>
      <c r="J21" s="82" t="s">
        <v>112</v>
      </c>
      <c r="K21" s="65">
        <v>0</v>
      </c>
      <c r="L21" s="75"/>
      <c r="M21" s="75"/>
      <c r="N21" s="76"/>
      <c r="O21" s="77">
        <v>0</v>
      </c>
      <c r="P21" s="69">
        <f t="shared" si="0"/>
        <v>0</v>
      </c>
      <c r="Q21" s="77">
        <v>0</v>
      </c>
      <c r="R21" s="1620">
        <f t="shared" si="1"/>
        <v>0</v>
      </c>
      <c r="S21" s="77">
        <v>0</v>
      </c>
      <c r="T21" s="69">
        <f t="shared" si="2"/>
        <v>0</v>
      </c>
      <c r="U21" s="1625"/>
      <c r="V21" s="77">
        <v>0</v>
      </c>
      <c r="W21" s="69">
        <f t="shared" si="3"/>
        <v>0</v>
      </c>
      <c r="X21" s="77">
        <v>0</v>
      </c>
      <c r="Y21" s="72">
        <f t="shared" si="4"/>
        <v>0</v>
      </c>
      <c r="Z21" s="86"/>
      <c r="AA21" s="72">
        <f t="shared" si="5"/>
        <v>0</v>
      </c>
      <c r="AB21" s="1625"/>
      <c r="AC21" s="77">
        <v>0</v>
      </c>
      <c r="AD21" s="69">
        <f t="shared" si="6"/>
        <v>0</v>
      </c>
      <c r="AE21" s="77">
        <v>0</v>
      </c>
      <c r="AF21" s="72">
        <f t="shared" si="7"/>
        <v>0</v>
      </c>
      <c r="AG21" s="86"/>
      <c r="AH21" s="72">
        <f t="shared" si="8"/>
        <v>0</v>
      </c>
      <c r="AI21" s="1625"/>
      <c r="AJ21" s="77">
        <v>0</v>
      </c>
      <c r="AK21" s="72">
        <f t="shared" si="9"/>
        <v>0</v>
      </c>
      <c r="AL21" s="86"/>
      <c r="AM21" s="72">
        <f t="shared" si="10"/>
        <v>0</v>
      </c>
      <c r="AN21" s="1625"/>
      <c r="AO21" s="83"/>
      <c r="AP21" s="84"/>
      <c r="AQ21" s="83"/>
      <c r="AR21" s="83"/>
      <c r="AS21" s="84"/>
      <c r="AT21" s="83"/>
      <c r="AU21" s="83"/>
      <c r="AV21" s="84"/>
      <c r="AW21" s="83"/>
      <c r="AX21" s="83"/>
      <c r="AY21" s="84"/>
      <c r="AZ21" s="83"/>
      <c r="BA21" s="83"/>
      <c r="BB21" s="84"/>
      <c r="BC21" s="83"/>
      <c r="BD21" s="83"/>
      <c r="BE21" s="84"/>
      <c r="BF21" s="83"/>
      <c r="BG21" s="83"/>
      <c r="BH21" s="84"/>
      <c r="BI21" s="83"/>
      <c r="BJ21" s="83"/>
      <c r="BK21" s="84"/>
      <c r="BL21" s="83"/>
      <c r="BM21" s="83"/>
      <c r="BN21" s="84"/>
      <c r="BO21" s="83"/>
      <c r="BP21" s="83"/>
      <c r="BQ21" s="84"/>
      <c r="BR21" s="83"/>
      <c r="BS21" s="83"/>
      <c r="BT21" s="84"/>
      <c r="BU21" s="54"/>
      <c r="BV21" s="39"/>
      <c r="BW21" s="48"/>
      <c r="BX21" s="73"/>
    </row>
    <row r="22" spans="3:76" ht="17.25" customHeight="1">
      <c r="C22" s="39"/>
      <c r="D22" s="2233"/>
      <c r="E22" s="2239"/>
      <c r="F22" s="79">
        <v>330</v>
      </c>
      <c r="G22" s="80">
        <v>1</v>
      </c>
      <c r="H22" s="2238"/>
      <c r="I22" s="85" t="s">
        <v>108</v>
      </c>
      <c r="J22" s="82" t="s">
        <v>112</v>
      </c>
      <c r="K22" s="65">
        <v>0</v>
      </c>
      <c r="L22" s="75"/>
      <c r="M22" s="75"/>
      <c r="N22" s="76"/>
      <c r="O22" s="77">
        <v>0</v>
      </c>
      <c r="P22" s="69">
        <f t="shared" si="0"/>
        <v>0</v>
      </c>
      <c r="Q22" s="77">
        <v>0</v>
      </c>
      <c r="R22" s="1620">
        <f t="shared" si="1"/>
        <v>0</v>
      </c>
      <c r="S22" s="77">
        <v>0</v>
      </c>
      <c r="T22" s="69">
        <f t="shared" si="2"/>
        <v>0</v>
      </c>
      <c r="U22" s="1625"/>
      <c r="V22" s="77">
        <v>0</v>
      </c>
      <c r="W22" s="69">
        <f t="shared" si="3"/>
        <v>0</v>
      </c>
      <c r="X22" s="77">
        <v>0</v>
      </c>
      <c r="Y22" s="72">
        <f t="shared" si="4"/>
        <v>0</v>
      </c>
      <c r="Z22" s="86"/>
      <c r="AA22" s="72">
        <f t="shared" si="5"/>
        <v>0</v>
      </c>
      <c r="AB22" s="1625"/>
      <c r="AC22" s="77">
        <v>0</v>
      </c>
      <c r="AD22" s="69">
        <f t="shared" si="6"/>
        <v>0</v>
      </c>
      <c r="AE22" s="77">
        <v>0</v>
      </c>
      <c r="AF22" s="72">
        <f t="shared" si="7"/>
        <v>0</v>
      </c>
      <c r="AG22" s="86"/>
      <c r="AH22" s="72">
        <f t="shared" si="8"/>
        <v>0</v>
      </c>
      <c r="AI22" s="1625"/>
      <c r="AJ22" s="77">
        <v>0</v>
      </c>
      <c r="AK22" s="72">
        <f t="shared" si="9"/>
        <v>0</v>
      </c>
      <c r="AL22" s="86"/>
      <c r="AM22" s="72">
        <f t="shared" si="10"/>
        <v>0</v>
      </c>
      <c r="AN22" s="1625"/>
      <c r="AO22" s="83"/>
      <c r="AP22" s="84"/>
      <c r="AQ22" s="83"/>
      <c r="AR22" s="83"/>
      <c r="AS22" s="84"/>
      <c r="AT22" s="83"/>
      <c r="AU22" s="83"/>
      <c r="AV22" s="84"/>
      <c r="AW22" s="83"/>
      <c r="AX22" s="83"/>
      <c r="AY22" s="84"/>
      <c r="AZ22" s="83"/>
      <c r="BA22" s="83"/>
      <c r="BB22" s="84"/>
      <c r="BC22" s="83"/>
      <c r="BD22" s="83"/>
      <c r="BE22" s="84"/>
      <c r="BF22" s="83"/>
      <c r="BG22" s="83"/>
      <c r="BH22" s="84"/>
      <c r="BI22" s="83"/>
      <c r="BJ22" s="83"/>
      <c r="BK22" s="84"/>
      <c r="BL22" s="83"/>
      <c r="BM22" s="83"/>
      <c r="BN22" s="84"/>
      <c r="BO22" s="83"/>
      <c r="BP22" s="83"/>
      <c r="BQ22" s="84"/>
      <c r="BR22" s="83"/>
      <c r="BS22" s="83"/>
      <c r="BT22" s="84"/>
      <c r="BU22" s="54"/>
      <c r="BV22" s="39"/>
      <c r="BW22" s="48"/>
      <c r="BX22" s="73"/>
    </row>
    <row r="23" spans="3:76" ht="17.25" customHeight="1">
      <c r="C23" s="39"/>
      <c r="D23" s="2233"/>
      <c r="E23" s="2239"/>
      <c r="F23" s="79">
        <v>330</v>
      </c>
      <c r="G23" s="80">
        <v>2</v>
      </c>
      <c r="H23" s="2237" t="s">
        <v>113</v>
      </c>
      <c r="I23" s="81" t="s">
        <v>104</v>
      </c>
      <c r="J23" s="82" t="s">
        <v>114</v>
      </c>
      <c r="K23" s="65">
        <v>0</v>
      </c>
      <c r="L23" s="75"/>
      <c r="M23" s="75"/>
      <c r="N23" s="76"/>
      <c r="O23" s="77">
        <v>0</v>
      </c>
      <c r="P23" s="69">
        <f t="shared" si="0"/>
        <v>0</v>
      </c>
      <c r="Q23" s="77">
        <v>0</v>
      </c>
      <c r="R23" s="1620">
        <f t="shared" si="1"/>
        <v>0</v>
      </c>
      <c r="S23" s="77">
        <v>0</v>
      </c>
      <c r="T23" s="69">
        <f t="shared" si="2"/>
        <v>0</v>
      </c>
      <c r="U23" s="1625"/>
      <c r="V23" s="77">
        <v>0</v>
      </c>
      <c r="W23" s="69">
        <f t="shared" si="3"/>
        <v>0</v>
      </c>
      <c r="X23" s="77">
        <v>0</v>
      </c>
      <c r="Y23" s="72">
        <f t="shared" si="4"/>
        <v>0</v>
      </c>
      <c r="Z23" s="86"/>
      <c r="AA23" s="72">
        <f t="shared" si="5"/>
        <v>0</v>
      </c>
      <c r="AB23" s="1625"/>
      <c r="AC23" s="77">
        <v>0</v>
      </c>
      <c r="AD23" s="69">
        <f t="shared" si="6"/>
        <v>0</v>
      </c>
      <c r="AE23" s="77">
        <v>0</v>
      </c>
      <c r="AF23" s="72">
        <f t="shared" si="7"/>
        <v>0</v>
      </c>
      <c r="AG23" s="86"/>
      <c r="AH23" s="72">
        <f t="shared" si="8"/>
        <v>0</v>
      </c>
      <c r="AI23" s="1625"/>
      <c r="AJ23" s="77">
        <v>0</v>
      </c>
      <c r="AK23" s="72">
        <f t="shared" si="9"/>
        <v>0</v>
      </c>
      <c r="AL23" s="86"/>
      <c r="AM23" s="72">
        <f t="shared" si="10"/>
        <v>0</v>
      </c>
      <c r="AN23" s="1625"/>
      <c r="AO23" s="83"/>
      <c r="AP23" s="84"/>
      <c r="AQ23" s="83"/>
      <c r="AR23" s="83"/>
      <c r="AS23" s="84"/>
      <c r="AT23" s="83"/>
      <c r="AU23" s="83"/>
      <c r="AV23" s="84"/>
      <c r="AW23" s="83"/>
      <c r="AX23" s="83"/>
      <c r="AY23" s="84"/>
      <c r="AZ23" s="83"/>
      <c r="BA23" s="83"/>
      <c r="BB23" s="84"/>
      <c r="BC23" s="83"/>
      <c r="BD23" s="83"/>
      <c r="BE23" s="84"/>
      <c r="BF23" s="83"/>
      <c r="BG23" s="83"/>
      <c r="BH23" s="84"/>
      <c r="BI23" s="83"/>
      <c r="BJ23" s="83"/>
      <c r="BK23" s="84"/>
      <c r="BL23" s="83"/>
      <c r="BM23" s="83"/>
      <c r="BN23" s="84"/>
      <c r="BO23" s="83"/>
      <c r="BP23" s="83"/>
      <c r="BQ23" s="84"/>
      <c r="BR23" s="83"/>
      <c r="BS23" s="83"/>
      <c r="BT23" s="84"/>
      <c r="BU23" s="54"/>
      <c r="BV23" s="39"/>
      <c r="BW23" s="48"/>
      <c r="BX23" s="73"/>
    </row>
    <row r="24" spans="3:76" ht="17.25" customHeight="1">
      <c r="C24" s="39"/>
      <c r="D24" s="2233"/>
      <c r="E24" s="2236"/>
      <c r="F24" s="80">
        <v>300</v>
      </c>
      <c r="G24" s="80">
        <v>2</v>
      </c>
      <c r="H24" s="2238"/>
      <c r="I24" s="85" t="s">
        <v>108</v>
      </c>
      <c r="J24" s="82" t="s">
        <v>115</v>
      </c>
      <c r="K24" s="65">
        <v>0</v>
      </c>
      <c r="L24" s="75"/>
      <c r="M24" s="75"/>
      <c r="N24" s="76"/>
      <c r="O24" s="77">
        <v>0</v>
      </c>
      <c r="P24" s="69">
        <f t="shared" si="0"/>
        <v>0</v>
      </c>
      <c r="Q24" s="77">
        <v>0</v>
      </c>
      <c r="R24" s="1620">
        <f t="shared" si="1"/>
        <v>0</v>
      </c>
      <c r="S24" s="77">
        <v>0</v>
      </c>
      <c r="T24" s="69">
        <f t="shared" si="2"/>
        <v>0</v>
      </c>
      <c r="U24" s="1625"/>
      <c r="V24" s="77">
        <v>0</v>
      </c>
      <c r="W24" s="69">
        <f t="shared" si="3"/>
        <v>0</v>
      </c>
      <c r="X24" s="77">
        <v>0</v>
      </c>
      <c r="Y24" s="72">
        <f t="shared" si="4"/>
        <v>0</v>
      </c>
      <c r="Z24" s="86"/>
      <c r="AA24" s="72">
        <f t="shared" si="5"/>
        <v>0</v>
      </c>
      <c r="AB24" s="1625"/>
      <c r="AC24" s="77">
        <v>0</v>
      </c>
      <c r="AD24" s="69">
        <f t="shared" si="6"/>
        <v>0</v>
      </c>
      <c r="AE24" s="77">
        <v>0</v>
      </c>
      <c r="AF24" s="72">
        <f t="shared" si="7"/>
        <v>0</v>
      </c>
      <c r="AG24" s="86"/>
      <c r="AH24" s="72">
        <f t="shared" si="8"/>
        <v>0</v>
      </c>
      <c r="AI24" s="1625"/>
      <c r="AJ24" s="77">
        <v>0</v>
      </c>
      <c r="AK24" s="72">
        <f t="shared" si="9"/>
        <v>0</v>
      </c>
      <c r="AL24" s="86"/>
      <c r="AM24" s="72">
        <f t="shared" si="10"/>
        <v>0</v>
      </c>
      <c r="AN24" s="1625"/>
      <c r="AO24" s="83"/>
      <c r="AP24" s="84"/>
      <c r="AQ24" s="83"/>
      <c r="AR24" s="83"/>
      <c r="AS24" s="84"/>
      <c r="AT24" s="83"/>
      <c r="AU24" s="83"/>
      <c r="AV24" s="84"/>
      <c r="AW24" s="83"/>
      <c r="AX24" s="83"/>
      <c r="AY24" s="84"/>
      <c r="AZ24" s="83"/>
      <c r="BA24" s="83"/>
      <c r="BB24" s="84"/>
      <c r="BC24" s="83"/>
      <c r="BD24" s="83"/>
      <c r="BE24" s="84"/>
      <c r="BF24" s="83"/>
      <c r="BG24" s="83"/>
      <c r="BH24" s="84"/>
      <c r="BI24" s="83"/>
      <c r="BJ24" s="83"/>
      <c r="BK24" s="84"/>
      <c r="BL24" s="83"/>
      <c r="BM24" s="83"/>
      <c r="BN24" s="84"/>
      <c r="BO24" s="83"/>
      <c r="BP24" s="83"/>
      <c r="BQ24" s="84"/>
      <c r="BR24" s="83"/>
      <c r="BS24" s="83"/>
      <c r="BT24" s="84"/>
      <c r="BU24" s="54"/>
      <c r="BV24" s="39"/>
      <c r="BW24" s="48"/>
      <c r="BX24" s="73"/>
    </row>
    <row r="25" spans="3:76">
      <c r="C25" s="39"/>
      <c r="D25" s="2233"/>
      <c r="E25" s="2240">
        <v>220</v>
      </c>
      <c r="F25" s="79">
        <v>220</v>
      </c>
      <c r="G25" s="80" t="s">
        <v>111</v>
      </c>
      <c r="H25" s="2249">
        <v>1</v>
      </c>
      <c r="I25" s="81" t="s">
        <v>116</v>
      </c>
      <c r="J25" s="87" t="s">
        <v>117</v>
      </c>
      <c r="K25" s="65">
        <v>0</v>
      </c>
      <c r="L25" s="75"/>
      <c r="M25" s="75"/>
      <c r="N25" s="76"/>
      <c r="O25" s="77">
        <v>0</v>
      </c>
      <c r="P25" s="69">
        <f t="shared" si="0"/>
        <v>0</v>
      </c>
      <c r="Q25" s="77">
        <v>0</v>
      </c>
      <c r="R25" s="1620">
        <f t="shared" si="1"/>
        <v>0</v>
      </c>
      <c r="S25" s="77">
        <v>0</v>
      </c>
      <c r="T25" s="69">
        <f t="shared" si="2"/>
        <v>0</v>
      </c>
      <c r="U25" s="1625"/>
      <c r="V25" s="77">
        <v>0</v>
      </c>
      <c r="W25" s="69">
        <f t="shared" si="3"/>
        <v>0</v>
      </c>
      <c r="X25" s="77">
        <v>0</v>
      </c>
      <c r="Y25" s="72">
        <f t="shared" si="4"/>
        <v>0</v>
      </c>
      <c r="Z25" s="86"/>
      <c r="AA25" s="72">
        <f t="shared" si="5"/>
        <v>0</v>
      </c>
      <c r="AB25" s="1625"/>
      <c r="AC25" s="77">
        <v>0</v>
      </c>
      <c r="AD25" s="69">
        <f t="shared" si="6"/>
        <v>0</v>
      </c>
      <c r="AE25" s="77">
        <v>0</v>
      </c>
      <c r="AF25" s="72">
        <f t="shared" si="7"/>
        <v>0</v>
      </c>
      <c r="AG25" s="86"/>
      <c r="AH25" s="72">
        <f t="shared" si="8"/>
        <v>0</v>
      </c>
      <c r="AI25" s="1625"/>
      <c r="AJ25" s="77">
        <v>0</v>
      </c>
      <c r="AK25" s="72">
        <f t="shared" si="9"/>
        <v>0</v>
      </c>
      <c r="AL25" s="86"/>
      <c r="AM25" s="72">
        <f t="shared" si="10"/>
        <v>0</v>
      </c>
      <c r="AN25" s="1625"/>
      <c r="AO25" s="83"/>
      <c r="AP25" s="84"/>
      <c r="AQ25" s="83"/>
      <c r="AR25" s="83"/>
      <c r="AS25" s="84"/>
      <c r="AT25" s="83"/>
      <c r="AU25" s="83"/>
      <c r="AV25" s="84"/>
      <c r="AW25" s="83"/>
      <c r="AX25" s="83"/>
      <c r="AY25" s="84"/>
      <c r="AZ25" s="83"/>
      <c r="BA25" s="83"/>
      <c r="BB25" s="84"/>
      <c r="BC25" s="83"/>
      <c r="BD25" s="83"/>
      <c r="BE25" s="84"/>
      <c r="BF25" s="83"/>
      <c r="BG25" s="83"/>
      <c r="BH25" s="84"/>
      <c r="BI25" s="83"/>
      <c r="BJ25" s="83"/>
      <c r="BK25" s="84"/>
      <c r="BL25" s="83"/>
      <c r="BM25" s="83"/>
      <c r="BN25" s="84"/>
      <c r="BO25" s="83"/>
      <c r="BP25" s="83"/>
      <c r="BQ25" s="84"/>
      <c r="BR25" s="83"/>
      <c r="BS25" s="83"/>
      <c r="BT25" s="84"/>
      <c r="BU25" s="54"/>
      <c r="BV25" s="39"/>
      <c r="BW25" s="48"/>
      <c r="BX25" s="73"/>
    </row>
    <row r="26" spans="3:76">
      <c r="C26" s="39"/>
      <c r="D26" s="2233"/>
      <c r="E26" s="2241"/>
      <c r="F26" s="79">
        <v>220</v>
      </c>
      <c r="G26" s="80" t="s">
        <v>111</v>
      </c>
      <c r="H26" s="2250"/>
      <c r="I26" s="81" t="s">
        <v>104</v>
      </c>
      <c r="J26" s="87" t="s">
        <v>118</v>
      </c>
      <c r="K26" s="65">
        <v>0</v>
      </c>
      <c r="L26" s="75"/>
      <c r="M26" s="75"/>
      <c r="N26" s="76"/>
      <c r="O26" s="77">
        <v>0</v>
      </c>
      <c r="P26" s="69">
        <f t="shared" si="0"/>
        <v>0</v>
      </c>
      <c r="Q26" s="77">
        <v>0</v>
      </c>
      <c r="R26" s="1620">
        <f t="shared" si="1"/>
        <v>0</v>
      </c>
      <c r="S26" s="77">
        <v>0</v>
      </c>
      <c r="T26" s="69">
        <f t="shared" si="2"/>
        <v>0</v>
      </c>
      <c r="U26" s="1625"/>
      <c r="V26" s="77">
        <v>0</v>
      </c>
      <c r="W26" s="69">
        <f t="shared" si="3"/>
        <v>0</v>
      </c>
      <c r="X26" s="77">
        <v>0</v>
      </c>
      <c r="Y26" s="72">
        <f t="shared" si="4"/>
        <v>0</v>
      </c>
      <c r="Z26" s="86"/>
      <c r="AA26" s="72">
        <f t="shared" si="5"/>
        <v>0</v>
      </c>
      <c r="AB26" s="1625"/>
      <c r="AC26" s="77">
        <v>0</v>
      </c>
      <c r="AD26" s="69">
        <f t="shared" si="6"/>
        <v>0</v>
      </c>
      <c r="AE26" s="77">
        <v>0</v>
      </c>
      <c r="AF26" s="72">
        <f t="shared" si="7"/>
        <v>0</v>
      </c>
      <c r="AG26" s="86"/>
      <c r="AH26" s="72">
        <f t="shared" si="8"/>
        <v>0</v>
      </c>
      <c r="AI26" s="1625"/>
      <c r="AJ26" s="77">
        <v>0</v>
      </c>
      <c r="AK26" s="72">
        <f t="shared" si="9"/>
        <v>0</v>
      </c>
      <c r="AL26" s="86"/>
      <c r="AM26" s="72">
        <f t="shared" si="10"/>
        <v>0</v>
      </c>
      <c r="AN26" s="1625"/>
      <c r="AO26" s="83"/>
      <c r="AP26" s="84"/>
      <c r="AQ26" s="83"/>
      <c r="AR26" s="83"/>
      <c r="AS26" s="84"/>
      <c r="AT26" s="83"/>
      <c r="AU26" s="83"/>
      <c r="AV26" s="84"/>
      <c r="AW26" s="83"/>
      <c r="AX26" s="83"/>
      <c r="AY26" s="84"/>
      <c r="AZ26" s="83"/>
      <c r="BA26" s="83"/>
      <c r="BB26" s="84"/>
      <c r="BC26" s="83"/>
      <c r="BD26" s="83"/>
      <c r="BE26" s="84"/>
      <c r="BF26" s="83"/>
      <c r="BG26" s="83"/>
      <c r="BH26" s="84"/>
      <c r="BI26" s="83"/>
      <c r="BJ26" s="83"/>
      <c r="BK26" s="84"/>
      <c r="BL26" s="83"/>
      <c r="BM26" s="83"/>
      <c r="BN26" s="84"/>
      <c r="BO26" s="83"/>
      <c r="BP26" s="83"/>
      <c r="BQ26" s="84"/>
      <c r="BR26" s="83"/>
      <c r="BS26" s="83"/>
      <c r="BT26" s="84"/>
      <c r="BU26" s="54"/>
      <c r="BV26" s="39"/>
      <c r="BW26" s="48"/>
      <c r="BX26" s="73"/>
    </row>
    <row r="27" spans="3:76">
      <c r="C27" s="39"/>
      <c r="D27" s="2233"/>
      <c r="E27" s="2241"/>
      <c r="F27" s="79">
        <v>220</v>
      </c>
      <c r="G27" s="80" t="s">
        <v>111</v>
      </c>
      <c r="H27" s="2225"/>
      <c r="I27" s="85" t="s">
        <v>108</v>
      </c>
      <c r="J27" s="87" t="s">
        <v>119</v>
      </c>
      <c r="K27" s="65">
        <v>0</v>
      </c>
      <c r="L27" s="75"/>
      <c r="M27" s="75"/>
      <c r="N27" s="76"/>
      <c r="O27" s="77">
        <v>0</v>
      </c>
      <c r="P27" s="69">
        <f t="shared" si="0"/>
        <v>0</v>
      </c>
      <c r="Q27" s="77">
        <v>0</v>
      </c>
      <c r="R27" s="1620">
        <f t="shared" si="1"/>
        <v>0</v>
      </c>
      <c r="S27" s="77">
        <v>0</v>
      </c>
      <c r="T27" s="69">
        <f t="shared" si="2"/>
        <v>0</v>
      </c>
      <c r="U27" s="1625"/>
      <c r="V27" s="77">
        <v>0</v>
      </c>
      <c r="W27" s="69">
        <f t="shared" si="3"/>
        <v>0</v>
      </c>
      <c r="X27" s="77">
        <v>0</v>
      </c>
      <c r="Y27" s="72">
        <f t="shared" si="4"/>
        <v>0</v>
      </c>
      <c r="Z27" s="86"/>
      <c r="AA27" s="72">
        <f t="shared" si="5"/>
        <v>0</v>
      </c>
      <c r="AB27" s="1625"/>
      <c r="AC27" s="77">
        <v>0</v>
      </c>
      <c r="AD27" s="69">
        <f t="shared" si="6"/>
        <v>0</v>
      </c>
      <c r="AE27" s="77">
        <v>0</v>
      </c>
      <c r="AF27" s="72">
        <f t="shared" si="7"/>
        <v>0</v>
      </c>
      <c r="AG27" s="86"/>
      <c r="AH27" s="72">
        <f t="shared" si="8"/>
        <v>0</v>
      </c>
      <c r="AI27" s="1625"/>
      <c r="AJ27" s="77">
        <v>0</v>
      </c>
      <c r="AK27" s="72">
        <f t="shared" si="9"/>
        <v>0</v>
      </c>
      <c r="AL27" s="86"/>
      <c r="AM27" s="72">
        <f t="shared" si="10"/>
        <v>0</v>
      </c>
      <c r="AN27" s="1625"/>
      <c r="AO27" s="83"/>
      <c r="AP27" s="84"/>
      <c r="AQ27" s="83"/>
      <c r="AR27" s="83"/>
      <c r="AS27" s="84"/>
      <c r="AT27" s="83"/>
      <c r="AU27" s="83"/>
      <c r="AV27" s="84"/>
      <c r="AW27" s="83"/>
      <c r="AX27" s="83"/>
      <c r="AY27" s="84"/>
      <c r="AZ27" s="83"/>
      <c r="BA27" s="83"/>
      <c r="BB27" s="84"/>
      <c r="BC27" s="83"/>
      <c r="BD27" s="83"/>
      <c r="BE27" s="84"/>
      <c r="BF27" s="83"/>
      <c r="BG27" s="83"/>
      <c r="BH27" s="84"/>
      <c r="BI27" s="83"/>
      <c r="BJ27" s="83"/>
      <c r="BK27" s="84"/>
      <c r="BL27" s="83"/>
      <c r="BM27" s="83"/>
      <c r="BN27" s="84"/>
      <c r="BO27" s="83"/>
      <c r="BP27" s="83"/>
      <c r="BQ27" s="84"/>
      <c r="BR27" s="83"/>
      <c r="BS27" s="83"/>
      <c r="BT27" s="84"/>
      <c r="BU27" s="54"/>
      <c r="BV27" s="39"/>
      <c r="BW27" s="48"/>
      <c r="BX27" s="73"/>
    </row>
    <row r="28" spans="3:76">
      <c r="C28" s="39"/>
      <c r="D28" s="2233"/>
      <c r="E28" s="2241"/>
      <c r="F28" s="79">
        <v>220</v>
      </c>
      <c r="G28" s="80" t="s">
        <v>113</v>
      </c>
      <c r="H28" s="2249">
        <v>2</v>
      </c>
      <c r="I28" s="81" t="s">
        <v>104</v>
      </c>
      <c r="J28" s="87" t="s">
        <v>120</v>
      </c>
      <c r="K28" s="65">
        <v>0</v>
      </c>
      <c r="L28" s="75"/>
      <c r="M28" s="75"/>
      <c r="N28" s="76"/>
      <c r="O28" s="77">
        <v>0</v>
      </c>
      <c r="P28" s="69">
        <f t="shared" si="0"/>
        <v>0</v>
      </c>
      <c r="Q28" s="77">
        <v>0</v>
      </c>
      <c r="R28" s="1620">
        <f t="shared" si="1"/>
        <v>0</v>
      </c>
      <c r="S28" s="77">
        <v>0</v>
      </c>
      <c r="T28" s="69">
        <f t="shared" si="2"/>
        <v>0</v>
      </c>
      <c r="U28" s="1625"/>
      <c r="V28" s="77">
        <v>0</v>
      </c>
      <c r="W28" s="69">
        <f t="shared" si="3"/>
        <v>0</v>
      </c>
      <c r="X28" s="77">
        <v>0</v>
      </c>
      <c r="Y28" s="72">
        <f t="shared" si="4"/>
        <v>0</v>
      </c>
      <c r="Z28" s="86"/>
      <c r="AA28" s="72">
        <f t="shared" si="5"/>
        <v>0</v>
      </c>
      <c r="AB28" s="1625"/>
      <c r="AC28" s="77">
        <v>0</v>
      </c>
      <c r="AD28" s="69">
        <f t="shared" si="6"/>
        <v>0</v>
      </c>
      <c r="AE28" s="77">
        <v>0</v>
      </c>
      <c r="AF28" s="72">
        <f t="shared" si="7"/>
        <v>0</v>
      </c>
      <c r="AG28" s="86"/>
      <c r="AH28" s="72">
        <f t="shared" si="8"/>
        <v>0</v>
      </c>
      <c r="AI28" s="1625"/>
      <c r="AJ28" s="77">
        <v>0</v>
      </c>
      <c r="AK28" s="72">
        <f t="shared" si="9"/>
        <v>0</v>
      </c>
      <c r="AL28" s="86"/>
      <c r="AM28" s="72">
        <f t="shared" si="10"/>
        <v>0</v>
      </c>
      <c r="AN28" s="1625"/>
      <c r="AO28" s="83"/>
      <c r="AP28" s="84"/>
      <c r="AQ28" s="83"/>
      <c r="AR28" s="83"/>
      <c r="AS28" s="84"/>
      <c r="AT28" s="83"/>
      <c r="AU28" s="83"/>
      <c r="AV28" s="84"/>
      <c r="AW28" s="83"/>
      <c r="AX28" s="83"/>
      <c r="AY28" s="84"/>
      <c r="AZ28" s="83"/>
      <c r="BA28" s="83"/>
      <c r="BB28" s="84"/>
      <c r="BC28" s="83"/>
      <c r="BD28" s="83"/>
      <c r="BE28" s="84"/>
      <c r="BF28" s="83"/>
      <c r="BG28" s="83"/>
      <c r="BH28" s="84"/>
      <c r="BI28" s="83"/>
      <c r="BJ28" s="83"/>
      <c r="BK28" s="84"/>
      <c r="BL28" s="83"/>
      <c r="BM28" s="83"/>
      <c r="BN28" s="84"/>
      <c r="BO28" s="83"/>
      <c r="BP28" s="83"/>
      <c r="BQ28" s="84"/>
      <c r="BR28" s="83"/>
      <c r="BS28" s="83"/>
      <c r="BT28" s="84"/>
      <c r="BU28" s="54"/>
      <c r="BV28" s="39"/>
      <c r="BW28" s="48"/>
      <c r="BX28" s="73"/>
    </row>
    <row r="29" spans="3:76">
      <c r="C29" s="39"/>
      <c r="D29" s="2233"/>
      <c r="E29" s="2242"/>
      <c r="F29" s="80">
        <v>220</v>
      </c>
      <c r="G29" s="80" t="s">
        <v>113</v>
      </c>
      <c r="H29" s="2225"/>
      <c r="I29" s="85" t="s">
        <v>108</v>
      </c>
      <c r="J29" s="87" t="s">
        <v>121</v>
      </c>
      <c r="K29" s="65">
        <v>0</v>
      </c>
      <c r="L29" s="75"/>
      <c r="M29" s="75"/>
      <c r="N29" s="76"/>
      <c r="O29" s="77">
        <v>0</v>
      </c>
      <c r="P29" s="69">
        <f t="shared" si="0"/>
        <v>0</v>
      </c>
      <c r="Q29" s="77">
        <v>0</v>
      </c>
      <c r="R29" s="1620">
        <f t="shared" si="1"/>
        <v>0</v>
      </c>
      <c r="S29" s="77">
        <v>0</v>
      </c>
      <c r="T29" s="69">
        <f t="shared" si="2"/>
        <v>0</v>
      </c>
      <c r="U29" s="1625"/>
      <c r="V29" s="77">
        <v>0</v>
      </c>
      <c r="W29" s="69">
        <f t="shared" si="3"/>
        <v>0</v>
      </c>
      <c r="X29" s="77">
        <v>0</v>
      </c>
      <c r="Y29" s="72">
        <f t="shared" si="4"/>
        <v>0</v>
      </c>
      <c r="Z29" s="86"/>
      <c r="AA29" s="72">
        <f t="shared" si="5"/>
        <v>0</v>
      </c>
      <c r="AB29" s="1625"/>
      <c r="AC29" s="77">
        <v>0</v>
      </c>
      <c r="AD29" s="69">
        <f t="shared" si="6"/>
        <v>0</v>
      </c>
      <c r="AE29" s="77">
        <v>0</v>
      </c>
      <c r="AF29" s="72">
        <f t="shared" si="7"/>
        <v>0</v>
      </c>
      <c r="AG29" s="86"/>
      <c r="AH29" s="72">
        <f t="shared" si="8"/>
        <v>0</v>
      </c>
      <c r="AI29" s="1625"/>
      <c r="AJ29" s="77">
        <v>0</v>
      </c>
      <c r="AK29" s="72">
        <f t="shared" si="9"/>
        <v>0</v>
      </c>
      <c r="AL29" s="86"/>
      <c r="AM29" s="72">
        <f t="shared" si="10"/>
        <v>0</v>
      </c>
      <c r="AN29" s="1625"/>
      <c r="AO29" s="83"/>
      <c r="AP29" s="84"/>
      <c r="AQ29" s="83"/>
      <c r="AR29" s="83"/>
      <c r="AS29" s="84"/>
      <c r="AT29" s="83"/>
      <c r="AU29" s="83"/>
      <c r="AV29" s="84"/>
      <c r="AW29" s="83"/>
      <c r="AX29" s="83"/>
      <c r="AY29" s="84"/>
      <c r="AZ29" s="83"/>
      <c r="BA29" s="83"/>
      <c r="BB29" s="84"/>
      <c r="BC29" s="83"/>
      <c r="BD29" s="83"/>
      <c r="BE29" s="84"/>
      <c r="BF29" s="83"/>
      <c r="BG29" s="83"/>
      <c r="BH29" s="84"/>
      <c r="BI29" s="83"/>
      <c r="BJ29" s="83"/>
      <c r="BK29" s="84"/>
      <c r="BL29" s="83"/>
      <c r="BM29" s="83"/>
      <c r="BN29" s="84"/>
      <c r="BO29" s="83"/>
      <c r="BP29" s="83"/>
      <c r="BQ29" s="84"/>
      <c r="BR29" s="83"/>
      <c r="BS29" s="83"/>
      <c r="BT29" s="84"/>
      <c r="BU29" s="54"/>
      <c r="BV29" s="39"/>
      <c r="BW29" s="48"/>
      <c r="BX29" s="73"/>
    </row>
    <row r="30" spans="3:76">
      <c r="C30" s="39"/>
      <c r="D30" s="2233"/>
      <c r="E30" s="2240" t="s">
        <v>122</v>
      </c>
      <c r="F30" s="79" t="s">
        <v>123</v>
      </c>
      <c r="G30" s="80" t="s">
        <v>111</v>
      </c>
      <c r="H30" s="2249">
        <v>1</v>
      </c>
      <c r="I30" s="81" t="s">
        <v>116</v>
      </c>
      <c r="J30" s="87" t="s">
        <v>124</v>
      </c>
      <c r="K30" s="65">
        <v>0</v>
      </c>
      <c r="L30" s="75"/>
      <c r="M30" s="75"/>
      <c r="N30" s="76"/>
      <c r="O30" s="77">
        <v>0</v>
      </c>
      <c r="P30" s="69">
        <f t="shared" si="0"/>
        <v>0</v>
      </c>
      <c r="Q30" s="77">
        <v>0</v>
      </c>
      <c r="R30" s="1620">
        <f t="shared" si="1"/>
        <v>0</v>
      </c>
      <c r="S30" s="77">
        <v>0</v>
      </c>
      <c r="T30" s="69">
        <f t="shared" si="2"/>
        <v>0</v>
      </c>
      <c r="U30" s="1625"/>
      <c r="V30" s="77">
        <v>0</v>
      </c>
      <c r="W30" s="69">
        <f t="shared" si="3"/>
        <v>0</v>
      </c>
      <c r="X30" s="77">
        <v>0</v>
      </c>
      <c r="Y30" s="72">
        <f t="shared" si="4"/>
        <v>0</v>
      </c>
      <c r="Z30" s="86"/>
      <c r="AA30" s="72">
        <f t="shared" si="5"/>
        <v>0</v>
      </c>
      <c r="AB30" s="1625"/>
      <c r="AC30" s="77">
        <v>0</v>
      </c>
      <c r="AD30" s="69">
        <f t="shared" si="6"/>
        <v>0</v>
      </c>
      <c r="AE30" s="77">
        <v>0</v>
      </c>
      <c r="AF30" s="72">
        <f t="shared" si="7"/>
        <v>0</v>
      </c>
      <c r="AG30" s="86"/>
      <c r="AH30" s="72">
        <f t="shared" si="8"/>
        <v>0</v>
      </c>
      <c r="AI30" s="1625"/>
      <c r="AJ30" s="77">
        <v>0</v>
      </c>
      <c r="AK30" s="72">
        <f t="shared" si="9"/>
        <v>0</v>
      </c>
      <c r="AL30" s="86"/>
      <c r="AM30" s="72">
        <f t="shared" si="10"/>
        <v>0</v>
      </c>
      <c r="AN30" s="1625"/>
      <c r="AO30" s="83"/>
      <c r="AP30" s="84"/>
      <c r="AQ30" s="83"/>
      <c r="AR30" s="83"/>
      <c r="AS30" s="84"/>
      <c r="AT30" s="83"/>
      <c r="AU30" s="83"/>
      <c r="AV30" s="84"/>
      <c r="AW30" s="83"/>
      <c r="AX30" s="83"/>
      <c r="AY30" s="84"/>
      <c r="AZ30" s="83"/>
      <c r="BA30" s="83"/>
      <c r="BB30" s="84"/>
      <c r="BC30" s="83"/>
      <c r="BD30" s="83"/>
      <c r="BE30" s="84"/>
      <c r="BF30" s="83"/>
      <c r="BG30" s="83"/>
      <c r="BH30" s="84"/>
      <c r="BI30" s="83"/>
      <c r="BJ30" s="83"/>
      <c r="BK30" s="84"/>
      <c r="BL30" s="83"/>
      <c r="BM30" s="83"/>
      <c r="BN30" s="84"/>
      <c r="BO30" s="83"/>
      <c r="BP30" s="83"/>
      <c r="BQ30" s="84"/>
      <c r="BR30" s="83"/>
      <c r="BS30" s="83"/>
      <c r="BT30" s="84"/>
      <c r="BU30" s="54"/>
      <c r="BV30" s="39"/>
      <c r="BW30" s="48"/>
      <c r="BX30" s="73"/>
    </row>
    <row r="31" spans="3:76">
      <c r="C31" s="39"/>
      <c r="D31" s="2233"/>
      <c r="E31" s="2241"/>
      <c r="F31" s="79" t="s">
        <v>123</v>
      </c>
      <c r="G31" s="80" t="s">
        <v>111</v>
      </c>
      <c r="H31" s="2250"/>
      <c r="I31" s="81" t="s">
        <v>104</v>
      </c>
      <c r="J31" s="87" t="s">
        <v>125</v>
      </c>
      <c r="K31" s="65">
        <v>0</v>
      </c>
      <c r="L31" s="75"/>
      <c r="M31" s="75"/>
      <c r="N31" s="76"/>
      <c r="O31" s="77">
        <v>0</v>
      </c>
      <c r="P31" s="69">
        <f t="shared" si="0"/>
        <v>0</v>
      </c>
      <c r="Q31" s="77">
        <v>0</v>
      </c>
      <c r="R31" s="1620">
        <f t="shared" si="1"/>
        <v>0</v>
      </c>
      <c r="S31" s="77">
        <v>0</v>
      </c>
      <c r="T31" s="69">
        <f t="shared" si="2"/>
        <v>0</v>
      </c>
      <c r="U31" s="1625"/>
      <c r="V31" s="77">
        <v>0</v>
      </c>
      <c r="W31" s="69">
        <f t="shared" si="3"/>
        <v>0</v>
      </c>
      <c r="X31" s="77">
        <v>0</v>
      </c>
      <c r="Y31" s="72">
        <f t="shared" si="4"/>
        <v>0</v>
      </c>
      <c r="Z31" s="86"/>
      <c r="AA31" s="72">
        <f t="shared" si="5"/>
        <v>0</v>
      </c>
      <c r="AB31" s="1625"/>
      <c r="AC31" s="77">
        <v>0</v>
      </c>
      <c r="AD31" s="69">
        <f t="shared" si="6"/>
        <v>0</v>
      </c>
      <c r="AE31" s="77">
        <v>0</v>
      </c>
      <c r="AF31" s="72">
        <f t="shared" si="7"/>
        <v>0</v>
      </c>
      <c r="AG31" s="86"/>
      <c r="AH31" s="72">
        <f t="shared" si="8"/>
        <v>0</v>
      </c>
      <c r="AI31" s="1625"/>
      <c r="AJ31" s="77">
        <v>0</v>
      </c>
      <c r="AK31" s="72">
        <f t="shared" si="9"/>
        <v>0</v>
      </c>
      <c r="AL31" s="86"/>
      <c r="AM31" s="72">
        <f t="shared" si="10"/>
        <v>0</v>
      </c>
      <c r="AN31" s="1625"/>
      <c r="AO31" s="83"/>
      <c r="AP31" s="84"/>
      <c r="AQ31" s="83"/>
      <c r="AR31" s="83"/>
      <c r="AS31" s="84"/>
      <c r="AT31" s="83"/>
      <c r="AU31" s="83"/>
      <c r="AV31" s="84"/>
      <c r="AW31" s="83"/>
      <c r="AX31" s="83"/>
      <c r="AY31" s="84"/>
      <c r="AZ31" s="83"/>
      <c r="BA31" s="83"/>
      <c r="BB31" s="84"/>
      <c r="BC31" s="83"/>
      <c r="BD31" s="83"/>
      <c r="BE31" s="84"/>
      <c r="BF31" s="83"/>
      <c r="BG31" s="83"/>
      <c r="BH31" s="84"/>
      <c r="BI31" s="83"/>
      <c r="BJ31" s="83"/>
      <c r="BK31" s="84"/>
      <c r="BL31" s="83"/>
      <c r="BM31" s="83"/>
      <c r="BN31" s="84"/>
      <c r="BO31" s="83"/>
      <c r="BP31" s="83"/>
      <c r="BQ31" s="84"/>
      <c r="BR31" s="83"/>
      <c r="BS31" s="83"/>
      <c r="BT31" s="84"/>
      <c r="BU31" s="54"/>
      <c r="BV31" s="39"/>
      <c r="BW31" s="48"/>
      <c r="BX31" s="73"/>
    </row>
    <row r="32" spans="3:76">
      <c r="C32" s="39"/>
      <c r="D32" s="2233"/>
      <c r="E32" s="2241"/>
      <c r="F32" s="79" t="s">
        <v>123</v>
      </c>
      <c r="G32" s="80" t="s">
        <v>111</v>
      </c>
      <c r="H32" s="2225"/>
      <c r="I32" s="85" t="s">
        <v>108</v>
      </c>
      <c r="J32" s="87" t="s">
        <v>126</v>
      </c>
      <c r="K32" s="65">
        <v>0</v>
      </c>
      <c r="L32" s="75"/>
      <c r="M32" s="75"/>
      <c r="N32" s="76"/>
      <c r="O32" s="77">
        <v>0</v>
      </c>
      <c r="P32" s="69">
        <f t="shared" si="0"/>
        <v>0</v>
      </c>
      <c r="Q32" s="77">
        <v>0</v>
      </c>
      <c r="R32" s="1620">
        <f t="shared" si="1"/>
        <v>0</v>
      </c>
      <c r="S32" s="77">
        <v>0</v>
      </c>
      <c r="T32" s="69">
        <f t="shared" si="2"/>
        <v>0</v>
      </c>
      <c r="U32" s="1625"/>
      <c r="V32" s="77">
        <v>0</v>
      </c>
      <c r="W32" s="69">
        <f t="shared" si="3"/>
        <v>0</v>
      </c>
      <c r="X32" s="77">
        <v>0</v>
      </c>
      <c r="Y32" s="72">
        <f t="shared" si="4"/>
        <v>0</v>
      </c>
      <c r="Z32" s="86"/>
      <c r="AA32" s="72">
        <f t="shared" si="5"/>
        <v>0</v>
      </c>
      <c r="AB32" s="1625"/>
      <c r="AC32" s="77">
        <v>0</v>
      </c>
      <c r="AD32" s="69">
        <f t="shared" si="6"/>
        <v>0</v>
      </c>
      <c r="AE32" s="77">
        <v>0</v>
      </c>
      <c r="AF32" s="72">
        <f t="shared" si="7"/>
        <v>0</v>
      </c>
      <c r="AG32" s="86"/>
      <c r="AH32" s="72">
        <f t="shared" si="8"/>
        <v>0</v>
      </c>
      <c r="AI32" s="1625"/>
      <c r="AJ32" s="77">
        <v>0</v>
      </c>
      <c r="AK32" s="72">
        <f t="shared" si="9"/>
        <v>0</v>
      </c>
      <c r="AL32" s="86"/>
      <c r="AM32" s="72">
        <f t="shared" si="10"/>
        <v>0</v>
      </c>
      <c r="AN32" s="1625"/>
      <c r="AO32" s="83"/>
      <c r="AP32" s="84"/>
      <c r="AQ32" s="83"/>
      <c r="AR32" s="83"/>
      <c r="AS32" s="84"/>
      <c r="AT32" s="83"/>
      <c r="AU32" s="83"/>
      <c r="AV32" s="84"/>
      <c r="AW32" s="83"/>
      <c r="AX32" s="83"/>
      <c r="AY32" s="84"/>
      <c r="AZ32" s="83"/>
      <c r="BA32" s="83"/>
      <c r="BB32" s="84"/>
      <c r="BC32" s="83"/>
      <c r="BD32" s="83"/>
      <c r="BE32" s="84"/>
      <c r="BF32" s="83"/>
      <c r="BG32" s="83"/>
      <c r="BH32" s="84"/>
      <c r="BI32" s="83"/>
      <c r="BJ32" s="83"/>
      <c r="BK32" s="84"/>
      <c r="BL32" s="83"/>
      <c r="BM32" s="83"/>
      <c r="BN32" s="84"/>
      <c r="BO32" s="83"/>
      <c r="BP32" s="83"/>
      <c r="BQ32" s="84"/>
      <c r="BR32" s="83"/>
      <c r="BS32" s="83"/>
      <c r="BT32" s="84"/>
      <c r="BU32" s="54"/>
      <c r="BV32" s="39"/>
      <c r="BW32" s="48"/>
      <c r="BX32" s="73"/>
    </row>
    <row r="33" spans="3:77">
      <c r="C33" s="39"/>
      <c r="D33" s="2233"/>
      <c r="E33" s="2241"/>
      <c r="F33" s="79" t="s">
        <v>123</v>
      </c>
      <c r="G33" s="80" t="s">
        <v>113</v>
      </c>
      <c r="H33" s="2249">
        <v>2</v>
      </c>
      <c r="I33" s="81" t="s">
        <v>104</v>
      </c>
      <c r="J33" s="87" t="s">
        <v>127</v>
      </c>
      <c r="K33" s="65">
        <v>0</v>
      </c>
      <c r="L33" s="75"/>
      <c r="M33" s="75"/>
      <c r="N33" s="76"/>
      <c r="O33" s="77">
        <v>0</v>
      </c>
      <c r="P33" s="69">
        <f t="shared" si="0"/>
        <v>0</v>
      </c>
      <c r="Q33" s="77">
        <v>0</v>
      </c>
      <c r="R33" s="1620">
        <f t="shared" si="1"/>
        <v>0</v>
      </c>
      <c r="S33" s="77">
        <v>0</v>
      </c>
      <c r="T33" s="69">
        <f t="shared" si="2"/>
        <v>0</v>
      </c>
      <c r="U33" s="1625"/>
      <c r="V33" s="77">
        <v>0</v>
      </c>
      <c r="W33" s="69">
        <f t="shared" si="3"/>
        <v>0</v>
      </c>
      <c r="X33" s="77">
        <v>0</v>
      </c>
      <c r="Y33" s="72">
        <f t="shared" si="4"/>
        <v>0</v>
      </c>
      <c r="Z33" s="86"/>
      <c r="AA33" s="72">
        <f t="shared" si="5"/>
        <v>0</v>
      </c>
      <c r="AB33" s="1625"/>
      <c r="AC33" s="77">
        <v>0</v>
      </c>
      <c r="AD33" s="69">
        <f t="shared" si="6"/>
        <v>0</v>
      </c>
      <c r="AE33" s="77">
        <v>0</v>
      </c>
      <c r="AF33" s="72">
        <f t="shared" si="7"/>
        <v>0</v>
      </c>
      <c r="AG33" s="86"/>
      <c r="AH33" s="72">
        <f t="shared" si="8"/>
        <v>0</v>
      </c>
      <c r="AI33" s="1625"/>
      <c r="AJ33" s="77">
        <v>0</v>
      </c>
      <c r="AK33" s="72">
        <f t="shared" si="9"/>
        <v>0</v>
      </c>
      <c r="AL33" s="86"/>
      <c r="AM33" s="72">
        <f t="shared" si="10"/>
        <v>0</v>
      </c>
      <c r="AN33" s="1625"/>
      <c r="AO33" s="83"/>
      <c r="AP33" s="84"/>
      <c r="AQ33" s="83"/>
      <c r="AR33" s="83"/>
      <c r="AS33" s="84"/>
      <c r="AT33" s="83"/>
      <c r="AU33" s="83"/>
      <c r="AV33" s="84"/>
      <c r="AW33" s="83"/>
      <c r="AX33" s="83"/>
      <c r="AY33" s="84"/>
      <c r="AZ33" s="83"/>
      <c r="BA33" s="83"/>
      <c r="BB33" s="84"/>
      <c r="BC33" s="83"/>
      <c r="BD33" s="83"/>
      <c r="BE33" s="84"/>
      <c r="BF33" s="83"/>
      <c r="BG33" s="83"/>
      <c r="BH33" s="84"/>
      <c r="BI33" s="83"/>
      <c r="BJ33" s="83"/>
      <c r="BK33" s="84"/>
      <c r="BL33" s="83"/>
      <c r="BM33" s="83"/>
      <c r="BN33" s="84"/>
      <c r="BO33" s="83"/>
      <c r="BP33" s="83"/>
      <c r="BQ33" s="84"/>
      <c r="BR33" s="83"/>
      <c r="BS33" s="83"/>
      <c r="BT33" s="84"/>
      <c r="BU33" s="54"/>
      <c r="BV33" s="39"/>
      <c r="BW33" s="48"/>
      <c r="BX33" s="73"/>
    </row>
    <row r="34" spans="3:77">
      <c r="C34" s="39"/>
      <c r="D34" s="2234"/>
      <c r="E34" s="2242"/>
      <c r="F34" s="80" t="s">
        <v>123</v>
      </c>
      <c r="G34" s="80" t="s">
        <v>113</v>
      </c>
      <c r="H34" s="2225"/>
      <c r="I34" s="85" t="s">
        <v>108</v>
      </c>
      <c r="J34" s="87" t="s">
        <v>128</v>
      </c>
      <c r="K34" s="65">
        <v>0</v>
      </c>
      <c r="L34" s="75"/>
      <c r="M34" s="75"/>
      <c r="N34" s="76"/>
      <c r="O34" s="77">
        <v>0</v>
      </c>
      <c r="P34" s="69">
        <f t="shared" si="0"/>
        <v>0</v>
      </c>
      <c r="Q34" s="77">
        <v>0</v>
      </c>
      <c r="R34" s="1620">
        <f t="shared" si="1"/>
        <v>0</v>
      </c>
      <c r="S34" s="77">
        <v>0</v>
      </c>
      <c r="T34" s="69">
        <f t="shared" si="2"/>
        <v>0</v>
      </c>
      <c r="U34" s="1625"/>
      <c r="V34" s="77">
        <v>0</v>
      </c>
      <c r="W34" s="69">
        <f t="shared" si="3"/>
        <v>0</v>
      </c>
      <c r="X34" s="77">
        <v>0</v>
      </c>
      <c r="Y34" s="72">
        <f t="shared" si="4"/>
        <v>0</v>
      </c>
      <c r="Z34" s="86"/>
      <c r="AA34" s="72">
        <f t="shared" si="5"/>
        <v>0</v>
      </c>
      <c r="AB34" s="1625"/>
      <c r="AC34" s="77">
        <v>0</v>
      </c>
      <c r="AD34" s="69">
        <f t="shared" si="6"/>
        <v>0</v>
      </c>
      <c r="AE34" s="77">
        <v>0</v>
      </c>
      <c r="AF34" s="72">
        <f t="shared" si="7"/>
        <v>0</v>
      </c>
      <c r="AG34" s="86"/>
      <c r="AH34" s="72">
        <f t="shared" si="8"/>
        <v>0</v>
      </c>
      <c r="AI34" s="1625"/>
      <c r="AJ34" s="77">
        <v>0</v>
      </c>
      <c r="AK34" s="72">
        <f t="shared" si="9"/>
        <v>0</v>
      </c>
      <c r="AL34" s="86"/>
      <c r="AM34" s="72">
        <f t="shared" si="10"/>
        <v>0</v>
      </c>
      <c r="AN34" s="1625"/>
      <c r="AO34" s="83"/>
      <c r="AP34" s="84"/>
      <c r="AQ34" s="83"/>
      <c r="AR34" s="83"/>
      <c r="AS34" s="84"/>
      <c r="AT34" s="83"/>
      <c r="AU34" s="83"/>
      <c r="AV34" s="84"/>
      <c r="AW34" s="83"/>
      <c r="AX34" s="83"/>
      <c r="AY34" s="84"/>
      <c r="AZ34" s="83"/>
      <c r="BA34" s="83"/>
      <c r="BB34" s="84"/>
      <c r="BC34" s="83"/>
      <c r="BD34" s="83"/>
      <c r="BE34" s="84"/>
      <c r="BF34" s="83"/>
      <c r="BG34" s="83"/>
      <c r="BH34" s="84"/>
      <c r="BI34" s="83"/>
      <c r="BJ34" s="83"/>
      <c r="BK34" s="84"/>
      <c r="BL34" s="83"/>
      <c r="BM34" s="83"/>
      <c r="BN34" s="84"/>
      <c r="BO34" s="83"/>
      <c r="BP34" s="83"/>
      <c r="BQ34" s="84"/>
      <c r="BR34" s="83"/>
      <c r="BS34" s="83"/>
      <c r="BT34" s="84"/>
      <c r="BU34" s="54"/>
      <c r="BV34" s="39"/>
      <c r="BW34" s="48"/>
      <c r="BX34" s="73"/>
    </row>
    <row r="35" spans="3:77">
      <c r="C35" s="39"/>
      <c r="D35" s="2224" t="s">
        <v>129</v>
      </c>
      <c r="E35" s="88">
        <v>220</v>
      </c>
      <c r="F35" s="80">
        <v>220</v>
      </c>
      <c r="G35" s="80" t="s">
        <v>130</v>
      </c>
      <c r="H35" s="89" t="s">
        <v>103</v>
      </c>
      <c r="I35" s="85" t="s">
        <v>103</v>
      </c>
      <c r="J35" s="87" t="s">
        <v>131</v>
      </c>
      <c r="K35" s="65">
        <v>0</v>
      </c>
      <c r="L35" s="75"/>
      <c r="M35" s="75"/>
      <c r="N35" s="76"/>
      <c r="O35" s="77">
        <v>0</v>
      </c>
      <c r="P35" s="69">
        <f t="shared" si="0"/>
        <v>0</v>
      </c>
      <c r="Q35" s="77">
        <v>0</v>
      </c>
      <c r="R35" s="1620">
        <f t="shared" si="1"/>
        <v>0</v>
      </c>
      <c r="S35" s="77">
        <v>0</v>
      </c>
      <c r="T35" s="69">
        <f t="shared" si="2"/>
        <v>0</v>
      </c>
      <c r="U35" s="1625"/>
      <c r="V35" s="77">
        <v>0</v>
      </c>
      <c r="W35" s="69">
        <f t="shared" si="3"/>
        <v>0</v>
      </c>
      <c r="X35" s="77">
        <v>0</v>
      </c>
      <c r="Y35" s="72">
        <f t="shared" si="4"/>
        <v>0</v>
      </c>
      <c r="Z35" s="86"/>
      <c r="AA35" s="72">
        <f t="shared" si="5"/>
        <v>0</v>
      </c>
      <c r="AB35" s="1625"/>
      <c r="AC35" s="77">
        <v>0</v>
      </c>
      <c r="AD35" s="69">
        <f t="shared" si="6"/>
        <v>0</v>
      </c>
      <c r="AE35" s="77">
        <v>0</v>
      </c>
      <c r="AF35" s="72">
        <f t="shared" si="7"/>
        <v>0</v>
      </c>
      <c r="AG35" s="86"/>
      <c r="AH35" s="72">
        <f t="shared" si="8"/>
        <v>0</v>
      </c>
      <c r="AI35" s="1625"/>
      <c r="AJ35" s="77">
        <v>0</v>
      </c>
      <c r="AK35" s="72">
        <f t="shared" si="9"/>
        <v>0</v>
      </c>
      <c r="AL35" s="86"/>
      <c r="AM35" s="72">
        <f t="shared" si="10"/>
        <v>0</v>
      </c>
      <c r="AN35" s="1625"/>
      <c r="AO35" s="83"/>
      <c r="AP35" s="84"/>
      <c r="AQ35" s="83"/>
      <c r="AR35" s="83"/>
      <c r="AS35" s="84"/>
      <c r="AT35" s="83"/>
      <c r="AU35" s="83"/>
      <c r="AV35" s="84"/>
      <c r="AW35" s="83"/>
      <c r="AX35" s="83"/>
      <c r="AY35" s="84"/>
      <c r="AZ35" s="83"/>
      <c r="BA35" s="83"/>
      <c r="BB35" s="84"/>
      <c r="BC35" s="83"/>
      <c r="BD35" s="83"/>
      <c r="BE35" s="84"/>
      <c r="BF35" s="83"/>
      <c r="BG35" s="83"/>
      <c r="BH35" s="84"/>
      <c r="BI35" s="83"/>
      <c r="BJ35" s="83"/>
      <c r="BK35" s="84"/>
      <c r="BL35" s="83"/>
      <c r="BM35" s="83"/>
      <c r="BN35" s="84"/>
      <c r="BO35" s="83"/>
      <c r="BP35" s="83"/>
      <c r="BQ35" s="84"/>
      <c r="BR35" s="83"/>
      <c r="BS35" s="83"/>
      <c r="BT35" s="84"/>
      <c r="BU35" s="54"/>
      <c r="BV35" s="39"/>
      <c r="BW35" s="48"/>
      <c r="BX35" s="73"/>
    </row>
    <row r="36" spans="3:77">
      <c r="C36" s="39"/>
      <c r="D36" s="2225"/>
      <c r="E36" s="89">
        <v>110</v>
      </c>
      <c r="F36" s="80">
        <v>110</v>
      </c>
      <c r="G36" s="80" t="s">
        <v>130</v>
      </c>
      <c r="H36" s="89" t="s">
        <v>103</v>
      </c>
      <c r="I36" s="85" t="s">
        <v>103</v>
      </c>
      <c r="J36" s="87" t="s">
        <v>132</v>
      </c>
      <c r="K36" s="65">
        <v>0</v>
      </c>
      <c r="L36" s="90"/>
      <c r="M36" s="90"/>
      <c r="N36" s="91"/>
      <c r="O36" s="77">
        <v>0</v>
      </c>
      <c r="P36" s="69">
        <f t="shared" si="0"/>
        <v>0</v>
      </c>
      <c r="Q36" s="77">
        <v>0</v>
      </c>
      <c r="R36" s="1620">
        <f t="shared" si="1"/>
        <v>0</v>
      </c>
      <c r="S36" s="77">
        <v>0</v>
      </c>
      <c r="T36" s="69">
        <f t="shared" si="2"/>
        <v>0</v>
      </c>
      <c r="U36" s="1625"/>
      <c r="V36" s="77">
        <v>0</v>
      </c>
      <c r="W36" s="69">
        <f t="shared" si="3"/>
        <v>0</v>
      </c>
      <c r="X36" s="77">
        <v>0</v>
      </c>
      <c r="Y36" s="72">
        <f t="shared" si="4"/>
        <v>0</v>
      </c>
      <c r="Z36" s="86"/>
      <c r="AA36" s="72">
        <f t="shared" si="5"/>
        <v>0</v>
      </c>
      <c r="AB36" s="1625"/>
      <c r="AC36" s="77">
        <v>0</v>
      </c>
      <c r="AD36" s="69">
        <f t="shared" si="6"/>
        <v>0</v>
      </c>
      <c r="AE36" s="77">
        <v>0</v>
      </c>
      <c r="AF36" s="72">
        <f t="shared" si="7"/>
        <v>0</v>
      </c>
      <c r="AG36" s="86"/>
      <c r="AH36" s="72">
        <f t="shared" si="8"/>
        <v>0</v>
      </c>
      <c r="AI36" s="1625"/>
      <c r="AJ36" s="77">
        <v>0</v>
      </c>
      <c r="AK36" s="72">
        <f t="shared" si="9"/>
        <v>0</v>
      </c>
      <c r="AL36" s="86"/>
      <c r="AM36" s="72">
        <f t="shared" si="10"/>
        <v>0</v>
      </c>
      <c r="AN36" s="1625"/>
      <c r="AO36" s="83"/>
      <c r="AP36" s="84"/>
      <c r="AQ36" s="83"/>
      <c r="AR36" s="83"/>
      <c r="AS36" s="84"/>
      <c r="AT36" s="83"/>
      <c r="AU36" s="83"/>
      <c r="AV36" s="84"/>
      <c r="AW36" s="83"/>
      <c r="AX36" s="83"/>
      <c r="AY36" s="84"/>
      <c r="AZ36" s="83"/>
      <c r="BA36" s="83"/>
      <c r="BB36" s="84"/>
      <c r="BC36" s="83"/>
      <c r="BD36" s="83"/>
      <c r="BE36" s="84"/>
      <c r="BF36" s="83"/>
      <c r="BG36" s="83"/>
      <c r="BH36" s="84"/>
      <c r="BI36" s="83"/>
      <c r="BJ36" s="83"/>
      <c r="BK36" s="84"/>
      <c r="BL36" s="83"/>
      <c r="BM36" s="83"/>
      <c r="BN36" s="84"/>
      <c r="BO36" s="83"/>
      <c r="BP36" s="83"/>
      <c r="BQ36" s="84"/>
      <c r="BR36" s="83"/>
      <c r="BS36" s="83"/>
      <c r="BT36" s="84"/>
      <c r="BU36" s="54"/>
      <c r="BV36" s="39"/>
      <c r="BW36" s="48"/>
      <c r="BX36" s="73"/>
    </row>
    <row r="37" spans="3:77" s="107" customFormat="1" ht="23.25" customHeight="1">
      <c r="C37" s="92"/>
      <c r="D37" s="93" t="s">
        <v>133</v>
      </c>
      <c r="E37" s="93"/>
      <c r="F37" s="94" t="str">
        <f>J37</f>
        <v>ВН_Всего</v>
      </c>
      <c r="G37" s="94"/>
      <c r="H37" s="93"/>
      <c r="I37" s="95"/>
      <c r="J37" s="96" t="s">
        <v>134</v>
      </c>
      <c r="K37" s="97"/>
      <c r="L37" s="97"/>
      <c r="M37" s="98"/>
      <c r="N37" s="98"/>
      <c r="O37" s="99">
        <f t="shared" ref="O37:T37" si="11">SUM(O17:O36)</f>
        <v>0</v>
      </c>
      <c r="P37" s="100">
        <f t="shared" si="11"/>
        <v>0</v>
      </c>
      <c r="Q37" s="99">
        <f t="shared" si="11"/>
        <v>0</v>
      </c>
      <c r="R37" s="99">
        <f t="shared" si="11"/>
        <v>0</v>
      </c>
      <c r="S37" s="1623">
        <f t="shared" si="11"/>
        <v>0</v>
      </c>
      <c r="T37" s="100">
        <f t="shared" si="11"/>
        <v>0</v>
      </c>
      <c r="U37" s="1626"/>
      <c r="V37" s="99">
        <f>SUM(V17:V36)</f>
        <v>0</v>
      </c>
      <c r="W37" s="100">
        <f>SUM(W17:W36)</f>
        <v>0</v>
      </c>
      <c r="X37" s="101">
        <f>SUM(X17:X36)</f>
        <v>0</v>
      </c>
      <c r="Y37" s="100">
        <f t="shared" ref="Y37:AM37" si="12">SUM(Y17:Y36)</f>
        <v>0</v>
      </c>
      <c r="Z37" s="100">
        <f t="shared" si="12"/>
        <v>0</v>
      </c>
      <c r="AA37" s="100">
        <f t="shared" si="12"/>
        <v>0</v>
      </c>
      <c r="AB37" s="1626"/>
      <c r="AC37" s="99">
        <f>SUM(AC17:AC36)</f>
        <v>0</v>
      </c>
      <c r="AD37" s="100">
        <f>SUM(AD17:AD36)</f>
        <v>0</v>
      </c>
      <c r="AE37" s="100">
        <f>SUM(AE17:AE36)</f>
        <v>0</v>
      </c>
      <c r="AF37" s="100">
        <f t="shared" si="12"/>
        <v>0</v>
      </c>
      <c r="AG37" s="100">
        <f t="shared" si="12"/>
        <v>0</v>
      </c>
      <c r="AH37" s="100">
        <f t="shared" si="12"/>
        <v>0</v>
      </c>
      <c r="AI37" s="1626"/>
      <c r="AJ37" s="100">
        <f>SUM(AJ17:AJ36)</f>
        <v>0</v>
      </c>
      <c r="AK37" s="100">
        <f t="shared" si="12"/>
        <v>0</v>
      </c>
      <c r="AL37" s="100">
        <f t="shared" si="12"/>
        <v>0</v>
      </c>
      <c r="AM37" s="100">
        <f t="shared" si="12"/>
        <v>0</v>
      </c>
      <c r="AN37" s="1626"/>
      <c r="AO37" s="102"/>
      <c r="AP37" s="102"/>
      <c r="AQ37" s="103"/>
      <c r="AR37" s="102"/>
      <c r="AS37" s="102"/>
      <c r="AT37" s="103"/>
      <c r="AU37" s="102"/>
      <c r="AV37" s="102"/>
      <c r="AW37" s="103"/>
      <c r="AX37" s="102"/>
      <c r="AY37" s="102"/>
      <c r="AZ37" s="103"/>
      <c r="BA37" s="102"/>
      <c r="BB37" s="102"/>
      <c r="BC37" s="103"/>
      <c r="BD37" s="102"/>
      <c r="BE37" s="102"/>
      <c r="BF37" s="103"/>
      <c r="BG37" s="102"/>
      <c r="BH37" s="102"/>
      <c r="BI37" s="103"/>
      <c r="BJ37" s="102"/>
      <c r="BK37" s="102"/>
      <c r="BL37" s="103"/>
      <c r="BM37" s="102"/>
      <c r="BN37" s="102"/>
      <c r="BO37" s="103"/>
      <c r="BP37" s="102"/>
      <c r="BQ37" s="102"/>
      <c r="BR37" s="103"/>
      <c r="BS37" s="102"/>
      <c r="BT37" s="102"/>
      <c r="BU37" s="104"/>
      <c r="BV37" s="92"/>
      <c r="BW37" s="105"/>
      <c r="BX37" s="106"/>
      <c r="BY37" s="15"/>
    </row>
    <row r="38" spans="3:77">
      <c r="C38" s="39"/>
      <c r="D38" s="2249" t="s">
        <v>102</v>
      </c>
      <c r="E38" s="2249">
        <v>35</v>
      </c>
      <c r="F38" s="79">
        <v>35</v>
      </c>
      <c r="G38" s="80" t="s">
        <v>111</v>
      </c>
      <c r="H38" s="2249">
        <v>1</v>
      </c>
      <c r="I38" s="81" t="s">
        <v>116</v>
      </c>
      <c r="J38" s="87" t="s">
        <v>135</v>
      </c>
      <c r="K38" s="74">
        <v>0</v>
      </c>
      <c r="L38" s="66"/>
      <c r="M38" s="66"/>
      <c r="N38" s="67"/>
      <c r="O38" s="108">
        <v>0</v>
      </c>
      <c r="P38" s="69">
        <f t="shared" ref="P38:P46" si="13">$K38*O38/100</f>
        <v>0</v>
      </c>
      <c r="Q38" s="108">
        <v>0</v>
      </c>
      <c r="R38" s="1620">
        <f t="shared" ref="R38:R46" si="14">$K38*Q38/100</f>
        <v>0</v>
      </c>
      <c r="S38" s="108">
        <v>0</v>
      </c>
      <c r="T38" s="69">
        <f t="shared" ref="T38:T48" si="15">$K38*S38/100</f>
        <v>0</v>
      </c>
      <c r="U38" s="1625"/>
      <c r="V38" s="108">
        <v>0</v>
      </c>
      <c r="W38" s="69">
        <f t="shared" ref="W38:W46" si="16">$K38*V38/100</f>
        <v>0</v>
      </c>
      <c r="X38" s="108">
        <v>0</v>
      </c>
      <c r="Y38" s="70">
        <f t="shared" ref="Y38:Y48" si="17">$K38*X38/100</f>
        <v>0</v>
      </c>
      <c r="Z38" s="86"/>
      <c r="AA38" s="70">
        <f t="shared" ref="AA38:AA46" si="18">$K38*Z38/100</f>
        <v>0</v>
      </c>
      <c r="AB38" s="1625"/>
      <c r="AC38" s="108">
        <v>0</v>
      </c>
      <c r="AD38" s="69">
        <f t="shared" ref="AD38:AD46" si="19">$K38*AC38/100</f>
        <v>0</v>
      </c>
      <c r="AE38" s="108">
        <v>0</v>
      </c>
      <c r="AF38" s="70">
        <f t="shared" ref="AF38:AF48" si="20">$K38*AE38/100</f>
        <v>0</v>
      </c>
      <c r="AG38" s="86"/>
      <c r="AH38" s="70">
        <f t="shared" ref="AH38:AH48" si="21">$K38*AG38/100</f>
        <v>0</v>
      </c>
      <c r="AI38" s="1625"/>
      <c r="AJ38" s="108">
        <v>0</v>
      </c>
      <c r="AK38" s="70">
        <f t="shared" ref="AK38:AK48" si="22">$K38*AJ38/100</f>
        <v>0</v>
      </c>
      <c r="AL38" s="86"/>
      <c r="AM38" s="70">
        <f t="shared" ref="AM38:AM48" si="23">$K38*AL38/100</f>
        <v>0</v>
      </c>
      <c r="AN38" s="1625"/>
      <c r="AO38" s="83"/>
      <c r="AP38" s="84"/>
      <c r="AQ38" s="83"/>
      <c r="AR38" s="83"/>
      <c r="AS38" s="84"/>
      <c r="AT38" s="83"/>
      <c r="AU38" s="83"/>
      <c r="AV38" s="84"/>
      <c r="AW38" s="83"/>
      <c r="AX38" s="83"/>
      <c r="AY38" s="84"/>
      <c r="AZ38" s="83"/>
      <c r="BA38" s="83"/>
      <c r="BB38" s="84"/>
      <c r="BC38" s="83"/>
      <c r="BD38" s="83"/>
      <c r="BE38" s="84"/>
      <c r="BF38" s="83"/>
      <c r="BG38" s="83"/>
      <c r="BH38" s="84"/>
      <c r="BI38" s="83"/>
      <c r="BJ38" s="83"/>
      <c r="BK38" s="84"/>
      <c r="BL38" s="83"/>
      <c r="BM38" s="83"/>
      <c r="BN38" s="84"/>
      <c r="BO38" s="83"/>
      <c r="BP38" s="83"/>
      <c r="BQ38" s="84"/>
      <c r="BR38" s="83"/>
      <c r="BS38" s="83"/>
      <c r="BT38" s="84"/>
      <c r="BU38" s="54"/>
      <c r="BV38" s="39"/>
      <c r="BW38" s="48"/>
      <c r="BX38" s="73"/>
    </row>
    <row r="39" spans="3:77">
      <c r="C39" s="39"/>
      <c r="D39" s="2250"/>
      <c r="E39" s="2250"/>
      <c r="F39" s="79">
        <v>35</v>
      </c>
      <c r="G39" s="80" t="s">
        <v>111</v>
      </c>
      <c r="H39" s="2250"/>
      <c r="I39" s="81" t="s">
        <v>104</v>
      </c>
      <c r="J39" s="87" t="s">
        <v>136</v>
      </c>
      <c r="K39" s="74">
        <v>0</v>
      </c>
      <c r="L39" s="75"/>
      <c r="M39" s="75"/>
      <c r="N39" s="76"/>
      <c r="O39" s="108">
        <v>0</v>
      </c>
      <c r="P39" s="69">
        <f t="shared" si="13"/>
        <v>0</v>
      </c>
      <c r="Q39" s="108">
        <v>0</v>
      </c>
      <c r="R39" s="1620">
        <f t="shared" si="14"/>
        <v>0</v>
      </c>
      <c r="S39" s="108">
        <v>0</v>
      </c>
      <c r="T39" s="69">
        <f t="shared" si="15"/>
        <v>0</v>
      </c>
      <c r="U39" s="1625"/>
      <c r="V39" s="108">
        <v>0</v>
      </c>
      <c r="W39" s="69">
        <f t="shared" si="16"/>
        <v>0</v>
      </c>
      <c r="X39" s="108">
        <v>0</v>
      </c>
      <c r="Y39" s="72">
        <f t="shared" si="17"/>
        <v>0</v>
      </c>
      <c r="Z39" s="86"/>
      <c r="AA39" s="72">
        <f t="shared" si="18"/>
        <v>0</v>
      </c>
      <c r="AB39" s="1625"/>
      <c r="AC39" s="108">
        <v>0</v>
      </c>
      <c r="AD39" s="69">
        <f t="shared" si="19"/>
        <v>0</v>
      </c>
      <c r="AE39" s="108">
        <v>0</v>
      </c>
      <c r="AF39" s="72">
        <f t="shared" si="20"/>
        <v>0</v>
      </c>
      <c r="AG39" s="86"/>
      <c r="AH39" s="72">
        <f t="shared" si="21"/>
        <v>0</v>
      </c>
      <c r="AI39" s="1625"/>
      <c r="AJ39" s="108">
        <v>0</v>
      </c>
      <c r="AK39" s="72">
        <f t="shared" si="22"/>
        <v>0</v>
      </c>
      <c r="AL39" s="86"/>
      <c r="AM39" s="72">
        <f t="shared" si="23"/>
        <v>0</v>
      </c>
      <c r="AN39" s="1625"/>
      <c r="AO39" s="83"/>
      <c r="AP39" s="84"/>
      <c r="AQ39" s="83"/>
      <c r="AR39" s="83"/>
      <c r="AS39" s="84"/>
      <c r="AT39" s="83"/>
      <c r="AU39" s="83"/>
      <c r="AV39" s="84"/>
      <c r="AW39" s="83"/>
      <c r="AX39" s="83"/>
      <c r="AY39" s="84"/>
      <c r="AZ39" s="83"/>
      <c r="BA39" s="83"/>
      <c r="BB39" s="84"/>
      <c r="BC39" s="83"/>
      <c r="BD39" s="83"/>
      <c r="BE39" s="84"/>
      <c r="BF39" s="83"/>
      <c r="BG39" s="83"/>
      <c r="BH39" s="84"/>
      <c r="BI39" s="83"/>
      <c r="BJ39" s="83"/>
      <c r="BK39" s="84"/>
      <c r="BL39" s="83"/>
      <c r="BM39" s="83"/>
      <c r="BN39" s="84"/>
      <c r="BO39" s="83"/>
      <c r="BP39" s="83"/>
      <c r="BQ39" s="84"/>
      <c r="BR39" s="83"/>
      <c r="BS39" s="83"/>
      <c r="BT39" s="84"/>
      <c r="BU39" s="54"/>
      <c r="BV39" s="39"/>
      <c r="BW39" s="48"/>
      <c r="BX39" s="73"/>
    </row>
    <row r="40" spans="3:77">
      <c r="C40" s="39"/>
      <c r="D40" s="2250"/>
      <c r="E40" s="2250"/>
      <c r="F40" s="79">
        <v>35</v>
      </c>
      <c r="G40" s="80" t="s">
        <v>111</v>
      </c>
      <c r="H40" s="2225"/>
      <c r="I40" s="85" t="s">
        <v>108</v>
      </c>
      <c r="J40" s="87" t="s">
        <v>137</v>
      </c>
      <c r="K40" s="74">
        <v>0</v>
      </c>
      <c r="L40" s="75"/>
      <c r="M40" s="75"/>
      <c r="N40" s="76"/>
      <c r="O40" s="108">
        <v>0</v>
      </c>
      <c r="P40" s="69">
        <f t="shared" si="13"/>
        <v>0</v>
      </c>
      <c r="Q40" s="108">
        <v>0</v>
      </c>
      <c r="R40" s="1620">
        <f t="shared" si="14"/>
        <v>0</v>
      </c>
      <c r="S40" s="108">
        <v>0</v>
      </c>
      <c r="T40" s="69">
        <f t="shared" si="15"/>
        <v>0</v>
      </c>
      <c r="U40" s="1625"/>
      <c r="V40" s="108">
        <v>0</v>
      </c>
      <c r="W40" s="69">
        <f t="shared" si="16"/>
        <v>0</v>
      </c>
      <c r="X40" s="108">
        <v>0</v>
      </c>
      <c r="Y40" s="72">
        <f t="shared" si="17"/>
        <v>0</v>
      </c>
      <c r="Z40" s="86"/>
      <c r="AA40" s="72">
        <f t="shared" si="18"/>
        <v>0</v>
      </c>
      <c r="AB40" s="1625"/>
      <c r="AC40" s="108">
        <v>0</v>
      </c>
      <c r="AD40" s="69">
        <f t="shared" si="19"/>
        <v>0</v>
      </c>
      <c r="AE40" s="108">
        <v>0</v>
      </c>
      <c r="AF40" s="72">
        <f t="shared" si="20"/>
        <v>0</v>
      </c>
      <c r="AG40" s="86"/>
      <c r="AH40" s="72">
        <f t="shared" si="21"/>
        <v>0</v>
      </c>
      <c r="AI40" s="1625"/>
      <c r="AJ40" s="108">
        <v>0</v>
      </c>
      <c r="AK40" s="72">
        <f t="shared" si="22"/>
        <v>0</v>
      </c>
      <c r="AL40" s="86"/>
      <c r="AM40" s="72">
        <f t="shared" si="23"/>
        <v>0</v>
      </c>
      <c r="AN40" s="1625"/>
      <c r="AO40" s="83"/>
      <c r="AP40" s="84"/>
      <c r="AQ40" s="83"/>
      <c r="AR40" s="83"/>
      <c r="AS40" s="84"/>
      <c r="AT40" s="83"/>
      <c r="AU40" s="83"/>
      <c r="AV40" s="84"/>
      <c r="AW40" s="83"/>
      <c r="AX40" s="83"/>
      <c r="AY40" s="84"/>
      <c r="AZ40" s="83"/>
      <c r="BA40" s="83"/>
      <c r="BB40" s="84"/>
      <c r="BC40" s="83"/>
      <c r="BD40" s="83"/>
      <c r="BE40" s="84"/>
      <c r="BF40" s="83"/>
      <c r="BG40" s="83"/>
      <c r="BH40" s="84"/>
      <c r="BI40" s="83"/>
      <c r="BJ40" s="83"/>
      <c r="BK40" s="84"/>
      <c r="BL40" s="83"/>
      <c r="BM40" s="83"/>
      <c r="BN40" s="84"/>
      <c r="BO40" s="83"/>
      <c r="BP40" s="83"/>
      <c r="BQ40" s="84"/>
      <c r="BR40" s="83"/>
      <c r="BS40" s="83"/>
      <c r="BT40" s="84"/>
      <c r="BU40" s="54"/>
      <c r="BV40" s="39"/>
      <c r="BW40" s="48"/>
      <c r="BX40" s="73"/>
    </row>
    <row r="41" spans="3:77">
      <c r="C41" s="39"/>
      <c r="D41" s="2250"/>
      <c r="E41" s="2250"/>
      <c r="F41" s="79">
        <v>35</v>
      </c>
      <c r="G41" s="80" t="s">
        <v>113</v>
      </c>
      <c r="H41" s="2249">
        <v>2</v>
      </c>
      <c r="I41" s="81" t="s">
        <v>104</v>
      </c>
      <c r="J41" s="87" t="s">
        <v>138</v>
      </c>
      <c r="K41" s="74">
        <v>0</v>
      </c>
      <c r="L41" s="75"/>
      <c r="M41" s="75"/>
      <c r="N41" s="76"/>
      <c r="O41" s="108">
        <v>0</v>
      </c>
      <c r="P41" s="69">
        <f t="shared" si="13"/>
        <v>0</v>
      </c>
      <c r="Q41" s="108">
        <v>0</v>
      </c>
      <c r="R41" s="1620">
        <f t="shared" si="14"/>
        <v>0</v>
      </c>
      <c r="S41" s="108">
        <v>0</v>
      </c>
      <c r="T41" s="69">
        <f t="shared" si="15"/>
        <v>0</v>
      </c>
      <c r="U41" s="1625"/>
      <c r="V41" s="108">
        <v>0</v>
      </c>
      <c r="W41" s="69">
        <f t="shared" si="16"/>
        <v>0</v>
      </c>
      <c r="X41" s="108">
        <v>0</v>
      </c>
      <c r="Y41" s="72">
        <f t="shared" si="17"/>
        <v>0</v>
      </c>
      <c r="Z41" s="86"/>
      <c r="AA41" s="72">
        <f t="shared" si="18"/>
        <v>0</v>
      </c>
      <c r="AB41" s="1625"/>
      <c r="AC41" s="108">
        <v>0</v>
      </c>
      <c r="AD41" s="69">
        <f t="shared" si="19"/>
        <v>0</v>
      </c>
      <c r="AE41" s="108">
        <v>0</v>
      </c>
      <c r="AF41" s="72">
        <f t="shared" si="20"/>
        <v>0</v>
      </c>
      <c r="AG41" s="86"/>
      <c r="AH41" s="72">
        <f t="shared" si="21"/>
        <v>0</v>
      </c>
      <c r="AI41" s="1625"/>
      <c r="AJ41" s="108">
        <v>0</v>
      </c>
      <c r="AK41" s="72">
        <f t="shared" si="22"/>
        <v>0</v>
      </c>
      <c r="AL41" s="86"/>
      <c r="AM41" s="72">
        <f t="shared" si="23"/>
        <v>0</v>
      </c>
      <c r="AN41" s="1625"/>
      <c r="AO41" s="83"/>
      <c r="AP41" s="84"/>
      <c r="AQ41" s="83"/>
      <c r="AR41" s="83"/>
      <c r="AS41" s="84"/>
      <c r="AT41" s="83"/>
      <c r="AU41" s="83"/>
      <c r="AV41" s="84"/>
      <c r="AW41" s="83"/>
      <c r="AX41" s="83"/>
      <c r="AY41" s="84"/>
      <c r="AZ41" s="83"/>
      <c r="BA41" s="83"/>
      <c r="BB41" s="84"/>
      <c r="BC41" s="83"/>
      <c r="BD41" s="83"/>
      <c r="BE41" s="84"/>
      <c r="BF41" s="83"/>
      <c r="BG41" s="83"/>
      <c r="BH41" s="84"/>
      <c r="BI41" s="83"/>
      <c r="BJ41" s="83"/>
      <c r="BK41" s="84"/>
      <c r="BL41" s="83"/>
      <c r="BM41" s="83"/>
      <c r="BN41" s="84"/>
      <c r="BO41" s="83"/>
      <c r="BP41" s="83"/>
      <c r="BQ41" s="84"/>
      <c r="BR41" s="83"/>
      <c r="BS41" s="83"/>
      <c r="BT41" s="84"/>
      <c r="BU41" s="54"/>
      <c r="BV41" s="39"/>
      <c r="BW41" s="48"/>
      <c r="BX41" s="73"/>
    </row>
    <row r="42" spans="3:77">
      <c r="C42" s="39"/>
      <c r="D42" s="2250"/>
      <c r="E42" s="2225"/>
      <c r="F42" s="80">
        <v>35</v>
      </c>
      <c r="G42" s="80" t="s">
        <v>113</v>
      </c>
      <c r="H42" s="2225"/>
      <c r="I42" s="85" t="s">
        <v>108</v>
      </c>
      <c r="J42" s="87" t="s">
        <v>139</v>
      </c>
      <c r="K42" s="74">
        <v>0</v>
      </c>
      <c r="L42" s="75"/>
      <c r="M42" s="75"/>
      <c r="N42" s="76"/>
      <c r="O42" s="108">
        <v>0</v>
      </c>
      <c r="P42" s="69">
        <f t="shared" si="13"/>
        <v>0</v>
      </c>
      <c r="Q42" s="108">
        <v>0</v>
      </c>
      <c r="R42" s="1620">
        <f t="shared" si="14"/>
        <v>0</v>
      </c>
      <c r="S42" s="108">
        <v>0</v>
      </c>
      <c r="T42" s="69">
        <f t="shared" si="15"/>
        <v>0</v>
      </c>
      <c r="U42" s="1625"/>
      <c r="V42" s="108">
        <v>0</v>
      </c>
      <c r="W42" s="69">
        <f t="shared" si="16"/>
        <v>0</v>
      </c>
      <c r="X42" s="108">
        <v>0</v>
      </c>
      <c r="Y42" s="72">
        <f t="shared" si="17"/>
        <v>0</v>
      </c>
      <c r="Z42" s="86"/>
      <c r="AA42" s="72">
        <f t="shared" si="18"/>
        <v>0</v>
      </c>
      <c r="AB42" s="1625"/>
      <c r="AC42" s="108">
        <v>0</v>
      </c>
      <c r="AD42" s="69">
        <f t="shared" si="19"/>
        <v>0</v>
      </c>
      <c r="AE42" s="108">
        <v>0</v>
      </c>
      <c r="AF42" s="72">
        <f t="shared" si="20"/>
        <v>0</v>
      </c>
      <c r="AG42" s="86"/>
      <c r="AH42" s="72">
        <f t="shared" si="21"/>
        <v>0</v>
      </c>
      <c r="AI42" s="1625"/>
      <c r="AJ42" s="108">
        <v>0</v>
      </c>
      <c r="AK42" s="72">
        <f t="shared" si="22"/>
        <v>0</v>
      </c>
      <c r="AL42" s="86"/>
      <c r="AM42" s="72">
        <f t="shared" si="23"/>
        <v>0</v>
      </c>
      <c r="AN42" s="1625"/>
      <c r="AO42" s="83"/>
      <c r="AP42" s="84"/>
      <c r="AQ42" s="83"/>
      <c r="AR42" s="83"/>
      <c r="AS42" s="84"/>
      <c r="AT42" s="83"/>
      <c r="AU42" s="83"/>
      <c r="AV42" s="84"/>
      <c r="AW42" s="83"/>
      <c r="AX42" s="83"/>
      <c r="AY42" s="84"/>
      <c r="AZ42" s="83"/>
      <c r="BA42" s="83"/>
      <c r="BB42" s="84"/>
      <c r="BC42" s="83"/>
      <c r="BD42" s="83"/>
      <c r="BE42" s="84"/>
      <c r="BF42" s="83"/>
      <c r="BG42" s="83"/>
      <c r="BH42" s="84"/>
      <c r="BI42" s="83"/>
      <c r="BJ42" s="83"/>
      <c r="BK42" s="84"/>
      <c r="BL42" s="83"/>
      <c r="BM42" s="83"/>
      <c r="BN42" s="84"/>
      <c r="BO42" s="83"/>
      <c r="BP42" s="83"/>
      <c r="BQ42" s="84"/>
      <c r="BR42" s="83"/>
      <c r="BS42" s="83"/>
      <c r="BT42" s="84"/>
      <c r="BU42" s="54"/>
      <c r="BV42" s="39"/>
      <c r="BW42" s="48"/>
      <c r="BX42" s="73"/>
    </row>
    <row r="43" spans="3:77">
      <c r="C43" s="39"/>
      <c r="D43" s="2250"/>
      <c r="E43" s="2249" t="s">
        <v>140</v>
      </c>
      <c r="F43" s="79" t="s">
        <v>141</v>
      </c>
      <c r="G43" s="80" t="s">
        <v>130</v>
      </c>
      <c r="H43" s="2249" t="s">
        <v>103</v>
      </c>
      <c r="I43" s="81" t="s">
        <v>116</v>
      </c>
      <c r="J43" s="87" t="s">
        <v>142</v>
      </c>
      <c r="K43" s="74">
        <v>0</v>
      </c>
      <c r="L43" s="75"/>
      <c r="M43" s="75"/>
      <c r="N43" s="76"/>
      <c r="O43" s="108">
        <v>0</v>
      </c>
      <c r="P43" s="69">
        <f t="shared" si="13"/>
        <v>0</v>
      </c>
      <c r="Q43" s="108">
        <v>0</v>
      </c>
      <c r="R43" s="1620">
        <f t="shared" si="14"/>
        <v>0</v>
      </c>
      <c r="S43" s="108">
        <v>0</v>
      </c>
      <c r="T43" s="69">
        <f t="shared" si="15"/>
        <v>0</v>
      </c>
      <c r="U43" s="1625"/>
      <c r="V43" s="108">
        <v>0</v>
      </c>
      <c r="W43" s="69">
        <f t="shared" si="16"/>
        <v>0</v>
      </c>
      <c r="X43" s="108">
        <v>0</v>
      </c>
      <c r="Y43" s="72">
        <f t="shared" si="17"/>
        <v>0</v>
      </c>
      <c r="Z43" s="86"/>
      <c r="AA43" s="72">
        <f t="shared" si="18"/>
        <v>0</v>
      </c>
      <c r="AB43" s="1625"/>
      <c r="AC43" s="108">
        <v>0</v>
      </c>
      <c r="AD43" s="69">
        <f t="shared" si="19"/>
        <v>0</v>
      </c>
      <c r="AE43" s="108">
        <v>0</v>
      </c>
      <c r="AF43" s="72">
        <f t="shared" si="20"/>
        <v>0</v>
      </c>
      <c r="AG43" s="86"/>
      <c r="AH43" s="72">
        <f t="shared" si="21"/>
        <v>0</v>
      </c>
      <c r="AI43" s="1625"/>
      <c r="AJ43" s="108">
        <v>0</v>
      </c>
      <c r="AK43" s="72">
        <f t="shared" si="22"/>
        <v>0</v>
      </c>
      <c r="AL43" s="86"/>
      <c r="AM43" s="72">
        <f t="shared" si="23"/>
        <v>0</v>
      </c>
      <c r="AN43" s="1625"/>
      <c r="AO43" s="83"/>
      <c r="AP43" s="84"/>
      <c r="AQ43" s="83"/>
      <c r="AR43" s="83"/>
      <c r="AS43" s="84"/>
      <c r="AT43" s="83"/>
      <c r="AU43" s="83"/>
      <c r="AV43" s="84"/>
      <c r="AW43" s="83"/>
      <c r="AX43" s="83"/>
      <c r="AY43" s="84"/>
      <c r="AZ43" s="83"/>
      <c r="BA43" s="83"/>
      <c r="BB43" s="84"/>
      <c r="BC43" s="83"/>
      <c r="BD43" s="83"/>
      <c r="BE43" s="84"/>
      <c r="BF43" s="83"/>
      <c r="BG43" s="83"/>
      <c r="BH43" s="84"/>
      <c r="BI43" s="83"/>
      <c r="BJ43" s="83"/>
      <c r="BK43" s="84"/>
      <c r="BL43" s="83"/>
      <c r="BM43" s="83"/>
      <c r="BN43" s="84"/>
      <c r="BO43" s="83"/>
      <c r="BP43" s="83"/>
      <c r="BQ43" s="84"/>
      <c r="BR43" s="83"/>
      <c r="BS43" s="83"/>
      <c r="BT43" s="84"/>
      <c r="BU43" s="54"/>
      <c r="BV43" s="39"/>
      <c r="BW43" s="48"/>
      <c r="BX43" s="73"/>
    </row>
    <row r="44" spans="3:77" ht="24" customHeight="1">
      <c r="C44" s="39"/>
      <c r="D44" s="2250"/>
      <c r="E44" s="2250"/>
      <c r="F44" s="79" t="s">
        <v>141</v>
      </c>
      <c r="G44" s="80" t="s">
        <v>130</v>
      </c>
      <c r="H44" s="2250"/>
      <c r="I44" s="81" t="s">
        <v>143</v>
      </c>
      <c r="J44" s="87" t="s">
        <v>144</v>
      </c>
      <c r="K44" s="74">
        <v>0</v>
      </c>
      <c r="L44" s="75"/>
      <c r="M44" s="75"/>
      <c r="N44" s="76"/>
      <c r="O44" s="108">
        <v>0</v>
      </c>
      <c r="P44" s="69">
        <f t="shared" si="13"/>
        <v>0</v>
      </c>
      <c r="Q44" s="108">
        <v>0</v>
      </c>
      <c r="R44" s="1620">
        <f t="shared" si="14"/>
        <v>0</v>
      </c>
      <c r="S44" s="108">
        <v>0</v>
      </c>
      <c r="T44" s="69">
        <f t="shared" si="15"/>
        <v>0</v>
      </c>
      <c r="U44" s="1625"/>
      <c r="V44" s="108">
        <v>0</v>
      </c>
      <c r="W44" s="69">
        <f t="shared" si="16"/>
        <v>0</v>
      </c>
      <c r="X44" s="108">
        <v>0</v>
      </c>
      <c r="Y44" s="72">
        <f t="shared" si="17"/>
        <v>0</v>
      </c>
      <c r="Z44" s="86"/>
      <c r="AA44" s="72">
        <f t="shared" si="18"/>
        <v>0</v>
      </c>
      <c r="AB44" s="1625"/>
      <c r="AC44" s="108">
        <v>0</v>
      </c>
      <c r="AD44" s="69">
        <f t="shared" si="19"/>
        <v>0</v>
      </c>
      <c r="AE44" s="108">
        <v>0</v>
      </c>
      <c r="AF44" s="72">
        <f t="shared" si="20"/>
        <v>0</v>
      </c>
      <c r="AG44" s="86"/>
      <c r="AH44" s="72">
        <f t="shared" si="21"/>
        <v>0</v>
      </c>
      <c r="AI44" s="1625"/>
      <c r="AJ44" s="108">
        <v>0</v>
      </c>
      <c r="AK44" s="72">
        <f t="shared" si="22"/>
        <v>0</v>
      </c>
      <c r="AL44" s="109"/>
      <c r="AM44" s="72">
        <f t="shared" si="23"/>
        <v>0</v>
      </c>
      <c r="AN44" s="1625"/>
      <c r="AO44" s="83"/>
      <c r="AP44" s="84"/>
      <c r="AQ44" s="83"/>
      <c r="AR44" s="83"/>
      <c r="AS44" s="84"/>
      <c r="AT44" s="83"/>
      <c r="AU44" s="83"/>
      <c r="AV44" s="84"/>
      <c r="AW44" s="83"/>
      <c r="AX44" s="83"/>
      <c r="AY44" s="84"/>
      <c r="AZ44" s="83"/>
      <c r="BA44" s="83"/>
      <c r="BB44" s="84"/>
      <c r="BC44" s="83"/>
      <c r="BD44" s="83"/>
      <c r="BE44" s="84"/>
      <c r="BF44" s="83"/>
      <c r="BG44" s="83"/>
      <c r="BH44" s="84"/>
      <c r="BI44" s="83"/>
      <c r="BJ44" s="83"/>
      <c r="BK44" s="84"/>
      <c r="BL44" s="83"/>
      <c r="BM44" s="83"/>
      <c r="BN44" s="84"/>
      <c r="BO44" s="83"/>
      <c r="BP44" s="83"/>
      <c r="BQ44" s="84"/>
      <c r="BR44" s="83"/>
      <c r="BS44" s="83"/>
      <c r="BT44" s="84"/>
      <c r="BU44" s="54"/>
      <c r="BV44" s="39"/>
      <c r="BW44" s="48"/>
      <c r="BX44" s="73"/>
    </row>
    <row r="45" spans="3:77" ht="24" customHeight="1">
      <c r="C45" s="39"/>
      <c r="D45" s="2225"/>
      <c r="E45" s="2250"/>
      <c r="F45" s="80" t="s">
        <v>141</v>
      </c>
      <c r="G45" s="80" t="s">
        <v>130</v>
      </c>
      <c r="H45" s="2225"/>
      <c r="I45" s="85" t="s">
        <v>145</v>
      </c>
      <c r="J45" s="87" t="s">
        <v>146</v>
      </c>
      <c r="K45" s="74">
        <v>0</v>
      </c>
      <c r="L45" s="75"/>
      <c r="M45" s="75"/>
      <c r="N45" s="76"/>
      <c r="O45" s="108">
        <v>0</v>
      </c>
      <c r="P45" s="69">
        <f t="shared" si="13"/>
        <v>0</v>
      </c>
      <c r="Q45" s="108">
        <v>0</v>
      </c>
      <c r="R45" s="1620">
        <f t="shared" si="14"/>
        <v>0</v>
      </c>
      <c r="S45" s="108">
        <v>0</v>
      </c>
      <c r="T45" s="69">
        <f t="shared" si="15"/>
        <v>0</v>
      </c>
      <c r="U45" s="1625"/>
      <c r="V45" s="108">
        <v>0</v>
      </c>
      <c r="W45" s="69">
        <f t="shared" si="16"/>
        <v>0</v>
      </c>
      <c r="X45" s="108">
        <v>0</v>
      </c>
      <c r="Y45" s="72">
        <f t="shared" si="17"/>
        <v>0</v>
      </c>
      <c r="Z45" s="86"/>
      <c r="AA45" s="72">
        <f t="shared" si="18"/>
        <v>0</v>
      </c>
      <c r="AB45" s="1625"/>
      <c r="AC45" s="108">
        <v>0</v>
      </c>
      <c r="AD45" s="69">
        <f t="shared" si="19"/>
        <v>0</v>
      </c>
      <c r="AE45" s="108">
        <v>0</v>
      </c>
      <c r="AF45" s="72">
        <f t="shared" si="20"/>
        <v>0</v>
      </c>
      <c r="AG45" s="86"/>
      <c r="AH45" s="72">
        <f t="shared" si="21"/>
        <v>0</v>
      </c>
      <c r="AI45" s="1625"/>
      <c r="AJ45" s="108">
        <v>0</v>
      </c>
      <c r="AK45" s="72">
        <f t="shared" si="22"/>
        <v>0</v>
      </c>
      <c r="AL45" s="109"/>
      <c r="AM45" s="72">
        <f t="shared" si="23"/>
        <v>0</v>
      </c>
      <c r="AN45" s="1625"/>
      <c r="AO45" s="83"/>
      <c r="AP45" s="84"/>
      <c r="AQ45" s="83"/>
      <c r="AR45" s="83"/>
      <c r="AS45" s="84"/>
      <c r="AT45" s="83"/>
      <c r="AU45" s="83"/>
      <c r="AV45" s="84"/>
      <c r="AW45" s="83"/>
      <c r="AX45" s="83"/>
      <c r="AY45" s="84"/>
      <c r="AZ45" s="83"/>
      <c r="BA45" s="83"/>
      <c r="BB45" s="84"/>
      <c r="BC45" s="83"/>
      <c r="BD45" s="83"/>
      <c r="BE45" s="84"/>
      <c r="BF45" s="83"/>
      <c r="BG45" s="83"/>
      <c r="BH45" s="84"/>
      <c r="BI45" s="83"/>
      <c r="BJ45" s="83"/>
      <c r="BK45" s="84"/>
      <c r="BL45" s="83"/>
      <c r="BM45" s="83"/>
      <c r="BN45" s="84"/>
      <c r="BO45" s="83"/>
      <c r="BP45" s="83"/>
      <c r="BQ45" s="84"/>
      <c r="BR45" s="83"/>
      <c r="BS45" s="83"/>
      <c r="BT45" s="84"/>
      <c r="BU45" s="54"/>
      <c r="BV45" s="39"/>
      <c r="BW45" s="48"/>
      <c r="BX45" s="73"/>
    </row>
    <row r="46" spans="3:77" ht="12.75">
      <c r="C46" s="39"/>
      <c r="D46" s="2251" t="s">
        <v>129</v>
      </c>
      <c r="E46" s="110" t="s">
        <v>147</v>
      </c>
      <c r="F46" s="79" t="s">
        <v>148</v>
      </c>
      <c r="G46" s="80" t="s">
        <v>130</v>
      </c>
      <c r="H46" s="89" t="s">
        <v>103</v>
      </c>
      <c r="I46" s="85" t="s">
        <v>103</v>
      </c>
      <c r="J46" s="87" t="s">
        <v>149</v>
      </c>
      <c r="K46" s="74">
        <v>0</v>
      </c>
      <c r="L46" s="75"/>
      <c r="M46" s="75"/>
      <c r="N46" s="76"/>
      <c r="O46" s="108">
        <v>0</v>
      </c>
      <c r="P46" s="69">
        <f t="shared" si="13"/>
        <v>0</v>
      </c>
      <c r="Q46" s="108">
        <v>0</v>
      </c>
      <c r="R46" s="1620">
        <f t="shared" si="14"/>
        <v>0</v>
      </c>
      <c r="S46" s="108">
        <v>0</v>
      </c>
      <c r="T46" s="69">
        <f t="shared" si="15"/>
        <v>0</v>
      </c>
      <c r="U46" s="1625"/>
      <c r="V46" s="108">
        <v>0</v>
      </c>
      <c r="W46" s="69">
        <f t="shared" si="16"/>
        <v>0</v>
      </c>
      <c r="X46" s="108">
        <v>0</v>
      </c>
      <c r="Y46" s="72">
        <f t="shared" si="17"/>
        <v>0</v>
      </c>
      <c r="Z46" s="86"/>
      <c r="AA46" s="72">
        <f t="shared" si="18"/>
        <v>0</v>
      </c>
      <c r="AB46" s="1625"/>
      <c r="AC46" s="108">
        <v>0</v>
      </c>
      <c r="AD46" s="69">
        <f t="shared" si="19"/>
        <v>0</v>
      </c>
      <c r="AE46" s="108">
        <v>0</v>
      </c>
      <c r="AF46" s="72">
        <f t="shared" si="20"/>
        <v>0</v>
      </c>
      <c r="AG46" s="86"/>
      <c r="AH46" s="72">
        <f t="shared" si="21"/>
        <v>0</v>
      </c>
      <c r="AI46" s="1625"/>
      <c r="AJ46" s="108">
        <v>0</v>
      </c>
      <c r="AK46" s="72">
        <f t="shared" si="22"/>
        <v>0</v>
      </c>
      <c r="AL46" s="109"/>
      <c r="AM46" s="72">
        <f t="shared" si="23"/>
        <v>0</v>
      </c>
      <c r="AN46" s="1625"/>
      <c r="AO46" s="83"/>
      <c r="AP46" s="84"/>
      <c r="AQ46" s="83"/>
      <c r="AR46" s="83"/>
      <c r="AS46" s="84"/>
      <c r="AT46" s="83"/>
      <c r="AU46" s="83"/>
      <c r="AV46" s="84"/>
      <c r="AW46" s="83"/>
      <c r="AX46" s="83"/>
      <c r="AY46" s="84"/>
      <c r="AZ46" s="83"/>
      <c r="BA46" s="83"/>
      <c r="BB46" s="84"/>
      <c r="BC46" s="83"/>
      <c r="BD46" s="83"/>
      <c r="BE46" s="84"/>
      <c r="BF46" s="83"/>
      <c r="BG46" s="83"/>
      <c r="BH46" s="84"/>
      <c r="BI46" s="83"/>
      <c r="BJ46" s="83"/>
      <c r="BK46" s="84"/>
      <c r="BL46" s="83"/>
      <c r="BM46" s="83"/>
      <c r="BN46" s="84"/>
      <c r="BO46" s="83"/>
      <c r="BP46" s="83"/>
      <c r="BQ46" s="84"/>
      <c r="BR46" s="83"/>
      <c r="BS46" s="83"/>
      <c r="BT46" s="84"/>
      <c r="BU46" s="54"/>
      <c r="BV46" s="39"/>
      <c r="BW46" s="48"/>
      <c r="BX46" s="73"/>
    </row>
    <row r="47" spans="3:77" hidden="1">
      <c r="C47" s="39"/>
      <c r="D47" s="2252"/>
      <c r="E47" s="111"/>
      <c r="F47" s="112"/>
      <c r="G47" s="113"/>
      <c r="H47" s="114"/>
      <c r="I47" s="115"/>
      <c r="J47" s="116"/>
      <c r="K47" s="74">
        <v>0</v>
      </c>
      <c r="L47" s="117"/>
      <c r="M47" s="117"/>
      <c r="N47" s="118"/>
      <c r="O47" s="108">
        <v>0</v>
      </c>
      <c r="P47" s="118"/>
      <c r="Q47" s="108">
        <v>0</v>
      </c>
      <c r="R47" s="1621"/>
      <c r="S47" s="108">
        <v>0</v>
      </c>
      <c r="T47" s="118"/>
      <c r="U47" s="1625"/>
      <c r="V47" s="108">
        <v>0</v>
      </c>
      <c r="W47" s="118"/>
      <c r="X47" s="108">
        <v>0</v>
      </c>
      <c r="Y47" s="120"/>
      <c r="Z47" s="121"/>
      <c r="AA47" s="120"/>
      <c r="AB47" s="1625"/>
      <c r="AC47" s="108">
        <v>0</v>
      </c>
      <c r="AD47" s="118"/>
      <c r="AE47" s="108">
        <v>0</v>
      </c>
      <c r="AF47" s="120"/>
      <c r="AG47" s="121"/>
      <c r="AH47" s="120"/>
      <c r="AI47" s="1625"/>
      <c r="AJ47" s="108">
        <v>0</v>
      </c>
      <c r="AK47" s="120"/>
      <c r="AL47" s="119"/>
      <c r="AM47" s="120"/>
      <c r="AN47" s="1625"/>
      <c r="AO47" s="83"/>
      <c r="AP47" s="84"/>
      <c r="AQ47" s="83"/>
      <c r="AR47" s="83"/>
      <c r="AS47" s="84"/>
      <c r="AT47" s="83"/>
      <c r="AU47" s="83"/>
      <c r="AV47" s="84"/>
      <c r="AW47" s="83"/>
      <c r="AX47" s="83"/>
      <c r="AY47" s="84"/>
      <c r="AZ47" s="83"/>
      <c r="BA47" s="83"/>
      <c r="BB47" s="84"/>
      <c r="BC47" s="83"/>
      <c r="BD47" s="83"/>
      <c r="BE47" s="84"/>
      <c r="BF47" s="83"/>
      <c r="BG47" s="83"/>
      <c r="BH47" s="84"/>
      <c r="BI47" s="83"/>
      <c r="BJ47" s="83"/>
      <c r="BK47" s="84"/>
      <c r="BL47" s="83"/>
      <c r="BM47" s="83"/>
      <c r="BN47" s="84"/>
      <c r="BO47" s="83"/>
      <c r="BP47" s="83"/>
      <c r="BQ47" s="84"/>
      <c r="BR47" s="83"/>
      <c r="BS47" s="83"/>
      <c r="BT47" s="84"/>
      <c r="BU47" s="54"/>
      <c r="BV47" s="39"/>
      <c r="BW47" s="48"/>
      <c r="BX47" s="73"/>
    </row>
    <row r="48" spans="3:77">
      <c r="C48" s="39"/>
      <c r="D48" s="2253"/>
      <c r="E48" s="122" t="s">
        <v>150</v>
      </c>
      <c r="F48" s="79" t="s">
        <v>151</v>
      </c>
      <c r="G48" s="80" t="s">
        <v>130</v>
      </c>
      <c r="H48" s="89" t="s">
        <v>103</v>
      </c>
      <c r="I48" s="85" t="s">
        <v>103</v>
      </c>
      <c r="J48" s="87" t="s">
        <v>152</v>
      </c>
      <c r="K48" s="74">
        <v>0</v>
      </c>
      <c r="L48" s="75"/>
      <c r="M48" s="75"/>
      <c r="N48" s="76"/>
      <c r="O48" s="108">
        <v>0</v>
      </c>
      <c r="P48" s="123">
        <f t="shared" ref="P48" si="24">$K48*O48/100</f>
        <v>0</v>
      </c>
      <c r="Q48" s="108">
        <v>0</v>
      </c>
      <c r="R48" s="1622">
        <f t="shared" ref="R48" si="25">$K48*Q48/100</f>
        <v>0</v>
      </c>
      <c r="S48" s="108">
        <v>0</v>
      </c>
      <c r="T48" s="123">
        <f t="shared" si="15"/>
        <v>0</v>
      </c>
      <c r="U48" s="1625"/>
      <c r="V48" s="108">
        <v>0</v>
      </c>
      <c r="W48" s="123">
        <f t="shared" ref="W48" si="26">$K48*V48/100</f>
        <v>0</v>
      </c>
      <c r="X48" s="108">
        <v>0</v>
      </c>
      <c r="Y48" s="72">
        <f t="shared" si="17"/>
        <v>0</v>
      </c>
      <c r="Z48" s="86"/>
      <c r="AA48" s="72">
        <f>$K48*Z48/100</f>
        <v>0</v>
      </c>
      <c r="AB48" s="1625"/>
      <c r="AC48" s="108">
        <v>0</v>
      </c>
      <c r="AD48" s="123">
        <f t="shared" ref="AD48" si="27">$K48*AC48/100</f>
        <v>0</v>
      </c>
      <c r="AE48" s="108">
        <v>0</v>
      </c>
      <c r="AF48" s="72">
        <f t="shared" si="20"/>
        <v>0</v>
      </c>
      <c r="AG48" s="86"/>
      <c r="AH48" s="72">
        <f t="shared" si="21"/>
        <v>0</v>
      </c>
      <c r="AI48" s="1625"/>
      <c r="AJ48" s="108">
        <v>0</v>
      </c>
      <c r="AK48" s="72">
        <f t="shared" si="22"/>
        <v>0</v>
      </c>
      <c r="AL48" s="109"/>
      <c r="AM48" s="72">
        <f t="shared" si="23"/>
        <v>0</v>
      </c>
      <c r="AN48" s="1625"/>
      <c r="AO48" s="83"/>
      <c r="AP48" s="84"/>
      <c r="AQ48" s="83"/>
      <c r="AR48" s="83"/>
      <c r="AS48" s="84"/>
      <c r="AT48" s="83"/>
      <c r="AU48" s="83"/>
      <c r="AV48" s="84"/>
      <c r="AW48" s="83"/>
      <c r="AX48" s="83"/>
      <c r="AY48" s="84"/>
      <c r="AZ48" s="83"/>
      <c r="BA48" s="83"/>
      <c r="BB48" s="84"/>
      <c r="BC48" s="83"/>
      <c r="BD48" s="83"/>
      <c r="BE48" s="84"/>
      <c r="BF48" s="83"/>
      <c r="BG48" s="83"/>
      <c r="BH48" s="84"/>
      <c r="BI48" s="83"/>
      <c r="BJ48" s="83"/>
      <c r="BK48" s="84"/>
      <c r="BL48" s="83"/>
      <c r="BM48" s="83"/>
      <c r="BN48" s="84"/>
      <c r="BO48" s="83"/>
      <c r="BP48" s="83"/>
      <c r="BQ48" s="84"/>
      <c r="BR48" s="83"/>
      <c r="BS48" s="83"/>
      <c r="BT48" s="84"/>
      <c r="BU48" s="54"/>
      <c r="BV48" s="39"/>
      <c r="BW48" s="48"/>
      <c r="BX48" s="73"/>
    </row>
    <row r="49" spans="3:77" s="107" customFormat="1" ht="23.25" customHeight="1">
      <c r="C49" s="92"/>
      <c r="D49" s="93" t="s">
        <v>153</v>
      </c>
      <c r="E49" s="124"/>
      <c r="F49" s="94" t="str">
        <f>J49</f>
        <v>СН1_Всего</v>
      </c>
      <c r="G49" s="94"/>
      <c r="H49" s="93"/>
      <c r="I49" s="95"/>
      <c r="J49" s="96" t="s">
        <v>154</v>
      </c>
      <c r="K49" s="97"/>
      <c r="L49" s="97"/>
      <c r="M49" s="98"/>
      <c r="N49" s="98"/>
      <c r="O49" s="100">
        <f>SUM(O38:O42)+O46</f>
        <v>0</v>
      </c>
      <c r="P49" s="100">
        <f t="shared" ref="P49:R49" si="28">SUM(P38:P42)+P46</f>
        <v>0</v>
      </c>
      <c r="Q49" s="100">
        <f>SUM(Q38:Q42)+Q46</f>
        <v>0</v>
      </c>
      <c r="R49" s="99">
        <f t="shared" si="28"/>
        <v>0</v>
      </c>
      <c r="S49" s="101">
        <f>SUM(S38:S42)+S46</f>
        <v>0</v>
      </c>
      <c r="T49" s="100">
        <f t="shared" ref="T49:AM49" si="29">SUM(T38:T42)+T46</f>
        <v>0</v>
      </c>
      <c r="U49" s="1626"/>
      <c r="V49" s="100">
        <f>SUM(V38:V42)+V46</f>
        <v>0</v>
      </c>
      <c r="W49" s="100">
        <f t="shared" ref="W49" si="30">SUM(W38:W42)+W46</f>
        <v>0</v>
      </c>
      <c r="X49" s="100">
        <f t="shared" si="29"/>
        <v>0</v>
      </c>
      <c r="Y49" s="100">
        <f t="shared" si="29"/>
        <v>0</v>
      </c>
      <c r="Z49" s="100">
        <f t="shared" si="29"/>
        <v>0</v>
      </c>
      <c r="AA49" s="100">
        <f t="shared" si="29"/>
        <v>0</v>
      </c>
      <c r="AB49" s="1626"/>
      <c r="AC49" s="100">
        <f>SUM(AC38:AC42)+AC46</f>
        <v>0</v>
      </c>
      <c r="AD49" s="100">
        <f t="shared" ref="AD49" si="31">SUM(AD38:AD42)+AD46</f>
        <v>0</v>
      </c>
      <c r="AE49" s="100">
        <f t="shared" si="29"/>
        <v>0</v>
      </c>
      <c r="AF49" s="100">
        <f t="shared" si="29"/>
        <v>0</v>
      </c>
      <c r="AG49" s="100">
        <f t="shared" si="29"/>
        <v>0</v>
      </c>
      <c r="AH49" s="100">
        <f t="shared" si="29"/>
        <v>0</v>
      </c>
      <c r="AI49" s="1626"/>
      <c r="AJ49" s="100">
        <f t="shared" si="29"/>
        <v>0</v>
      </c>
      <c r="AK49" s="100">
        <f t="shared" si="29"/>
        <v>0</v>
      </c>
      <c r="AL49" s="100">
        <f t="shared" si="29"/>
        <v>0</v>
      </c>
      <c r="AM49" s="100">
        <f t="shared" si="29"/>
        <v>0</v>
      </c>
      <c r="AN49" s="1626"/>
      <c r="AO49" s="102"/>
      <c r="AP49" s="102"/>
      <c r="AQ49" s="103"/>
      <c r="AR49" s="102"/>
      <c r="AS49" s="102"/>
      <c r="AT49" s="103"/>
      <c r="AU49" s="102"/>
      <c r="AV49" s="102"/>
      <c r="AW49" s="103"/>
      <c r="AX49" s="102"/>
      <c r="AY49" s="102"/>
      <c r="AZ49" s="103"/>
      <c r="BA49" s="102"/>
      <c r="BB49" s="102"/>
      <c r="BC49" s="103"/>
      <c r="BD49" s="102"/>
      <c r="BE49" s="102"/>
      <c r="BF49" s="103"/>
      <c r="BG49" s="102"/>
      <c r="BH49" s="102"/>
      <c r="BI49" s="103"/>
      <c r="BJ49" s="102"/>
      <c r="BK49" s="102"/>
      <c r="BL49" s="103"/>
      <c r="BM49" s="102"/>
      <c r="BN49" s="102"/>
      <c r="BO49" s="103"/>
      <c r="BP49" s="102"/>
      <c r="BQ49" s="102"/>
      <c r="BR49" s="103"/>
      <c r="BS49" s="102"/>
      <c r="BT49" s="102"/>
      <c r="BU49" s="104"/>
      <c r="BV49" s="92"/>
      <c r="BW49" s="105"/>
      <c r="BX49" s="106"/>
      <c r="BY49" s="15"/>
    </row>
    <row r="50" spans="3:77" s="107" customFormat="1" ht="23.25" customHeight="1">
      <c r="C50" s="92"/>
      <c r="D50" s="93" t="s">
        <v>155</v>
      </c>
      <c r="E50" s="93"/>
      <c r="F50" s="94" t="str">
        <f>J50</f>
        <v>СН2_Всего</v>
      </c>
      <c r="G50" s="94"/>
      <c r="H50" s="93"/>
      <c r="I50" s="95"/>
      <c r="J50" s="96" t="s">
        <v>156</v>
      </c>
      <c r="K50" s="97"/>
      <c r="L50" s="97"/>
      <c r="M50" s="98"/>
      <c r="N50" s="125"/>
      <c r="O50" s="99">
        <f>SUM(O43:O45)+O48</f>
        <v>0</v>
      </c>
      <c r="P50" s="100">
        <f t="shared" ref="P50:R50" si="32">SUM(P43:P45)+P48</f>
        <v>0</v>
      </c>
      <c r="Q50" s="99">
        <f>SUM(Q43:Q45)+Q48</f>
        <v>0</v>
      </c>
      <c r="R50" s="99">
        <f t="shared" si="32"/>
        <v>0</v>
      </c>
      <c r="S50" s="1623">
        <f>SUM(S43:S45)+S48</f>
        <v>0</v>
      </c>
      <c r="T50" s="100">
        <f t="shared" ref="T50:AM50" si="33">SUM(T43:T45)+T48</f>
        <v>0</v>
      </c>
      <c r="U50" s="1626"/>
      <c r="V50" s="99">
        <f>SUM(V43:V45)+V48</f>
        <v>0</v>
      </c>
      <c r="W50" s="100">
        <f t="shared" ref="W50" si="34">SUM(W43:W45)+W48</f>
        <v>0</v>
      </c>
      <c r="X50" s="101">
        <f t="shared" si="33"/>
        <v>0</v>
      </c>
      <c r="Y50" s="100">
        <f t="shared" si="33"/>
        <v>0</v>
      </c>
      <c r="Z50" s="100">
        <f t="shared" si="33"/>
        <v>0</v>
      </c>
      <c r="AA50" s="100">
        <f t="shared" si="33"/>
        <v>0</v>
      </c>
      <c r="AB50" s="1626"/>
      <c r="AC50" s="99">
        <f>SUM(AC43:AC45)+AC48</f>
        <v>0</v>
      </c>
      <c r="AD50" s="100">
        <f t="shared" ref="AD50" si="35">SUM(AD43:AD45)+AD48</f>
        <v>0</v>
      </c>
      <c r="AE50" s="100">
        <f t="shared" si="33"/>
        <v>0</v>
      </c>
      <c r="AF50" s="100">
        <f t="shared" si="33"/>
        <v>0</v>
      </c>
      <c r="AG50" s="100">
        <f t="shared" si="33"/>
        <v>0</v>
      </c>
      <c r="AH50" s="100">
        <f t="shared" si="33"/>
        <v>0</v>
      </c>
      <c r="AI50" s="1626"/>
      <c r="AJ50" s="100">
        <f t="shared" si="33"/>
        <v>0</v>
      </c>
      <c r="AK50" s="100">
        <f t="shared" si="33"/>
        <v>0</v>
      </c>
      <c r="AL50" s="100">
        <f t="shared" si="33"/>
        <v>0</v>
      </c>
      <c r="AM50" s="100">
        <f t="shared" si="33"/>
        <v>0</v>
      </c>
      <c r="AN50" s="1626"/>
      <c r="AO50" s="102"/>
      <c r="AP50" s="102"/>
      <c r="AQ50" s="103"/>
      <c r="AR50" s="102"/>
      <c r="AS50" s="102"/>
      <c r="AT50" s="103"/>
      <c r="AU50" s="102"/>
      <c r="AV50" s="102"/>
      <c r="AW50" s="103"/>
      <c r="AX50" s="102"/>
      <c r="AY50" s="102"/>
      <c r="AZ50" s="103"/>
      <c r="BA50" s="102"/>
      <c r="BB50" s="102"/>
      <c r="BC50" s="103"/>
      <c r="BD50" s="102"/>
      <c r="BE50" s="102"/>
      <c r="BF50" s="103"/>
      <c r="BG50" s="102"/>
      <c r="BH50" s="102"/>
      <c r="BI50" s="103"/>
      <c r="BJ50" s="102"/>
      <c r="BK50" s="102"/>
      <c r="BL50" s="103"/>
      <c r="BM50" s="102"/>
      <c r="BN50" s="102"/>
      <c r="BO50" s="103"/>
      <c r="BP50" s="102"/>
      <c r="BQ50" s="102"/>
      <c r="BR50" s="103"/>
      <c r="BS50" s="102"/>
      <c r="BT50" s="102"/>
      <c r="BU50" s="104"/>
      <c r="BV50" s="92"/>
      <c r="BW50" s="105"/>
      <c r="BX50" s="106"/>
      <c r="BY50" s="15"/>
    </row>
    <row r="51" spans="3:77">
      <c r="C51" s="39"/>
      <c r="D51" s="2249" t="s">
        <v>102</v>
      </c>
      <c r="E51" s="2249" t="s">
        <v>157</v>
      </c>
      <c r="F51" s="79" t="s">
        <v>158</v>
      </c>
      <c r="G51" s="80" t="s">
        <v>130</v>
      </c>
      <c r="H51" s="2249" t="s">
        <v>103</v>
      </c>
      <c r="I51" s="81" t="s">
        <v>116</v>
      </c>
      <c r="J51" s="87" t="s">
        <v>159</v>
      </c>
      <c r="K51" s="74">
        <v>0</v>
      </c>
      <c r="L51" s="75"/>
      <c r="M51" s="75"/>
      <c r="N51" s="76"/>
      <c r="O51" s="108">
        <v>0</v>
      </c>
      <c r="P51" s="69">
        <f>$K51*O51/100</f>
        <v>0</v>
      </c>
      <c r="Q51" s="108">
        <v>0</v>
      </c>
      <c r="R51" s="1620">
        <f>$K51*Q51/100</f>
        <v>0</v>
      </c>
      <c r="S51" s="108">
        <v>0</v>
      </c>
      <c r="T51" s="69">
        <f>$K51*S51/100</f>
        <v>0</v>
      </c>
      <c r="U51" s="1625"/>
      <c r="V51" s="108">
        <v>0</v>
      </c>
      <c r="W51" s="69">
        <f>$K51*V51/100</f>
        <v>0</v>
      </c>
      <c r="X51" s="108">
        <v>0</v>
      </c>
      <c r="Y51" s="70">
        <f>$K51*X51/100</f>
        <v>0</v>
      </c>
      <c r="Z51" s="126"/>
      <c r="AA51" s="70">
        <f>$K51*Z51/100</f>
        <v>0</v>
      </c>
      <c r="AB51" s="1625"/>
      <c r="AC51" s="108">
        <v>0</v>
      </c>
      <c r="AD51" s="69">
        <f>$K51*AC51/100</f>
        <v>0</v>
      </c>
      <c r="AE51" s="108">
        <v>0</v>
      </c>
      <c r="AF51" s="70">
        <f>$K51*AE51/100</f>
        <v>0</v>
      </c>
      <c r="AG51" s="126"/>
      <c r="AH51" s="70">
        <f>$K51*AG51/100</f>
        <v>0</v>
      </c>
      <c r="AI51" s="1625"/>
      <c r="AJ51" s="108">
        <v>0</v>
      </c>
      <c r="AK51" s="70">
        <f>$K51*AJ51/100</f>
        <v>0</v>
      </c>
      <c r="AL51" s="108"/>
      <c r="AM51" s="70">
        <f>$K51*AL51/100</f>
        <v>0</v>
      </c>
      <c r="AN51" s="1625"/>
      <c r="AO51" s="83"/>
      <c r="AP51" s="84"/>
      <c r="AQ51" s="83"/>
      <c r="AR51" s="83"/>
      <c r="AS51" s="84"/>
      <c r="AT51" s="83"/>
      <c r="AU51" s="83"/>
      <c r="AV51" s="84"/>
      <c r="AW51" s="83"/>
      <c r="AX51" s="83"/>
      <c r="AY51" s="84"/>
      <c r="AZ51" s="83"/>
      <c r="BA51" s="83"/>
      <c r="BB51" s="84"/>
      <c r="BC51" s="83"/>
      <c r="BD51" s="83"/>
      <c r="BE51" s="84"/>
      <c r="BF51" s="83"/>
      <c r="BG51" s="83"/>
      <c r="BH51" s="84"/>
      <c r="BI51" s="83"/>
      <c r="BJ51" s="83"/>
      <c r="BK51" s="84"/>
      <c r="BL51" s="83"/>
      <c r="BM51" s="83"/>
      <c r="BN51" s="84"/>
      <c r="BO51" s="83"/>
      <c r="BP51" s="83"/>
      <c r="BQ51" s="84"/>
      <c r="BR51" s="83"/>
      <c r="BS51" s="83"/>
      <c r="BT51" s="84"/>
      <c r="BU51" s="54"/>
      <c r="BV51" s="39"/>
      <c r="BW51" s="48"/>
      <c r="BX51" s="73"/>
    </row>
    <row r="52" spans="3:77" ht="24" customHeight="1">
      <c r="C52" s="39"/>
      <c r="D52" s="2250"/>
      <c r="E52" s="2250"/>
      <c r="F52" s="79" t="s">
        <v>158</v>
      </c>
      <c r="G52" s="80" t="s">
        <v>130</v>
      </c>
      <c r="H52" s="2250"/>
      <c r="I52" s="81" t="s">
        <v>143</v>
      </c>
      <c r="J52" s="87" t="s">
        <v>160</v>
      </c>
      <c r="K52" s="74">
        <v>0</v>
      </c>
      <c r="L52" s="75"/>
      <c r="M52" s="75"/>
      <c r="N52" s="76"/>
      <c r="O52" s="109">
        <v>0</v>
      </c>
      <c r="P52" s="69">
        <f>$K52*O52/100</f>
        <v>0</v>
      </c>
      <c r="Q52" s="109">
        <v>0</v>
      </c>
      <c r="R52" s="1620">
        <f>$K52*Q52/100</f>
        <v>0</v>
      </c>
      <c r="S52" s="109">
        <v>0</v>
      </c>
      <c r="T52" s="69">
        <f>$K52*S52/100</f>
        <v>0</v>
      </c>
      <c r="U52" s="1625"/>
      <c r="V52" s="109">
        <v>0</v>
      </c>
      <c r="W52" s="69">
        <f>$K52*V52/100</f>
        <v>0</v>
      </c>
      <c r="X52" s="109">
        <v>0</v>
      </c>
      <c r="Y52" s="72">
        <f>$K52*X52/100</f>
        <v>0</v>
      </c>
      <c r="Z52" s="86"/>
      <c r="AA52" s="72">
        <f>$K52*Z52/100</f>
        <v>0</v>
      </c>
      <c r="AB52" s="1625"/>
      <c r="AC52" s="109">
        <v>0</v>
      </c>
      <c r="AD52" s="69">
        <f>$K52*AC52/100</f>
        <v>0</v>
      </c>
      <c r="AE52" s="109">
        <v>0</v>
      </c>
      <c r="AF52" s="72">
        <f>$K52*AE52/100</f>
        <v>0</v>
      </c>
      <c r="AG52" s="86"/>
      <c r="AH52" s="72">
        <f>$K52*AG52/100</f>
        <v>0</v>
      </c>
      <c r="AI52" s="1625"/>
      <c r="AJ52" s="109">
        <v>0</v>
      </c>
      <c r="AK52" s="72">
        <f>$K52*AJ52/100</f>
        <v>0</v>
      </c>
      <c r="AL52" s="109"/>
      <c r="AM52" s="72">
        <f>$K52*AL52/100</f>
        <v>0</v>
      </c>
      <c r="AN52" s="1625"/>
      <c r="AO52" s="83"/>
      <c r="AP52" s="84"/>
      <c r="AQ52" s="83"/>
      <c r="AR52" s="83"/>
      <c r="AS52" s="84"/>
      <c r="AT52" s="83"/>
      <c r="AU52" s="83"/>
      <c r="AV52" s="84"/>
      <c r="AW52" s="83"/>
      <c r="AX52" s="83"/>
      <c r="AY52" s="84"/>
      <c r="AZ52" s="83"/>
      <c r="BA52" s="83"/>
      <c r="BB52" s="84"/>
      <c r="BC52" s="83"/>
      <c r="BD52" s="83"/>
      <c r="BE52" s="84"/>
      <c r="BF52" s="83"/>
      <c r="BG52" s="83"/>
      <c r="BH52" s="84"/>
      <c r="BI52" s="83"/>
      <c r="BJ52" s="83"/>
      <c r="BK52" s="84"/>
      <c r="BL52" s="83"/>
      <c r="BM52" s="83"/>
      <c r="BN52" s="84"/>
      <c r="BO52" s="83"/>
      <c r="BP52" s="83"/>
      <c r="BQ52" s="84"/>
      <c r="BR52" s="83"/>
      <c r="BS52" s="83"/>
      <c r="BT52" s="84"/>
      <c r="BU52" s="54"/>
      <c r="BV52" s="39"/>
      <c r="BW52" s="48"/>
      <c r="BX52" s="73"/>
    </row>
    <row r="53" spans="3:77" ht="24" customHeight="1">
      <c r="C53" s="39"/>
      <c r="D53" s="2225"/>
      <c r="E53" s="2225"/>
      <c r="F53" s="80" t="s">
        <v>158</v>
      </c>
      <c r="G53" s="80" t="s">
        <v>130</v>
      </c>
      <c r="H53" s="2225"/>
      <c r="I53" s="85" t="s">
        <v>145</v>
      </c>
      <c r="J53" s="87" t="s">
        <v>161</v>
      </c>
      <c r="K53" s="74">
        <v>0</v>
      </c>
      <c r="L53" s="75"/>
      <c r="M53" s="75"/>
      <c r="N53" s="76"/>
      <c r="O53" s="109">
        <v>0</v>
      </c>
      <c r="P53" s="69">
        <f>$K53*O53/100</f>
        <v>0</v>
      </c>
      <c r="Q53" s="109">
        <v>0</v>
      </c>
      <c r="R53" s="1620">
        <f>$K53*Q53/100</f>
        <v>0</v>
      </c>
      <c r="S53" s="109">
        <v>0</v>
      </c>
      <c r="T53" s="69">
        <f>$K53*S53/100</f>
        <v>0</v>
      </c>
      <c r="U53" s="1625"/>
      <c r="V53" s="109">
        <v>0</v>
      </c>
      <c r="W53" s="69">
        <f>$K53*V53/100</f>
        <v>0</v>
      </c>
      <c r="X53" s="109">
        <v>0</v>
      </c>
      <c r="Y53" s="72">
        <f>$K53*X53/100</f>
        <v>0</v>
      </c>
      <c r="Z53" s="86"/>
      <c r="AA53" s="72">
        <f>$K53*Z53/100</f>
        <v>0</v>
      </c>
      <c r="AB53" s="1625"/>
      <c r="AC53" s="109">
        <v>0</v>
      </c>
      <c r="AD53" s="69">
        <f>$K53*AC53/100</f>
        <v>0</v>
      </c>
      <c r="AE53" s="109">
        <v>0</v>
      </c>
      <c r="AF53" s="72">
        <f>$K53*AE53/100</f>
        <v>0</v>
      </c>
      <c r="AG53" s="86"/>
      <c r="AH53" s="72">
        <f>$K53*AG53/100</f>
        <v>0</v>
      </c>
      <c r="AI53" s="1625"/>
      <c r="AJ53" s="109">
        <v>0</v>
      </c>
      <c r="AK53" s="72">
        <f>$K53*AJ53/100</f>
        <v>0</v>
      </c>
      <c r="AL53" s="109"/>
      <c r="AM53" s="72">
        <f>$K53*AL53/100</f>
        <v>0</v>
      </c>
      <c r="AN53" s="1625"/>
      <c r="AO53" s="83"/>
      <c r="AP53" s="84"/>
      <c r="AQ53" s="83"/>
      <c r="AR53" s="83"/>
      <c r="AS53" s="84"/>
      <c r="AT53" s="83"/>
      <c r="AU53" s="83"/>
      <c r="AV53" s="84"/>
      <c r="AW53" s="83"/>
      <c r="AX53" s="83"/>
      <c r="AY53" s="84"/>
      <c r="AZ53" s="83"/>
      <c r="BA53" s="83"/>
      <c r="BB53" s="84"/>
      <c r="BC53" s="83"/>
      <c r="BD53" s="83"/>
      <c r="BE53" s="84"/>
      <c r="BF53" s="83"/>
      <c r="BG53" s="83"/>
      <c r="BH53" s="84"/>
      <c r="BI53" s="83"/>
      <c r="BJ53" s="83"/>
      <c r="BK53" s="84"/>
      <c r="BL53" s="83"/>
      <c r="BM53" s="83"/>
      <c r="BN53" s="84"/>
      <c r="BO53" s="83"/>
      <c r="BP53" s="83"/>
      <c r="BQ53" s="84"/>
      <c r="BR53" s="83"/>
      <c r="BS53" s="83"/>
      <c r="BT53" s="84"/>
      <c r="BU53" s="54"/>
      <c r="BV53" s="39"/>
      <c r="BW53" s="48"/>
      <c r="BX53" s="73"/>
    </row>
    <row r="54" spans="3:77">
      <c r="C54" s="39"/>
      <c r="D54" s="89" t="s">
        <v>129</v>
      </c>
      <c r="E54" s="89" t="s">
        <v>162</v>
      </c>
      <c r="F54" s="80" t="s">
        <v>163</v>
      </c>
      <c r="G54" s="80" t="s">
        <v>130</v>
      </c>
      <c r="H54" s="89" t="s">
        <v>103</v>
      </c>
      <c r="I54" s="85" t="s">
        <v>103</v>
      </c>
      <c r="J54" s="87" t="s">
        <v>164</v>
      </c>
      <c r="K54" s="74">
        <v>0</v>
      </c>
      <c r="L54" s="75"/>
      <c r="M54" s="75"/>
      <c r="N54" s="76"/>
      <c r="O54" s="109">
        <v>0</v>
      </c>
      <c r="P54" s="69">
        <f>$K54*O54/100</f>
        <v>0</v>
      </c>
      <c r="Q54" s="109">
        <v>0</v>
      </c>
      <c r="R54" s="1620">
        <f>$K54*Q54/100</f>
        <v>0</v>
      </c>
      <c r="S54" s="109">
        <v>0</v>
      </c>
      <c r="T54" s="69">
        <f>$K54*S54/100</f>
        <v>0</v>
      </c>
      <c r="U54" s="1625"/>
      <c r="V54" s="109">
        <v>0</v>
      </c>
      <c r="W54" s="69">
        <f>$K54*V54/100</f>
        <v>0</v>
      </c>
      <c r="X54" s="109">
        <v>0</v>
      </c>
      <c r="Y54" s="72">
        <f>$K54*X54/100</f>
        <v>0</v>
      </c>
      <c r="Z54" s="86"/>
      <c r="AA54" s="72">
        <f>$K54*Z54/100</f>
        <v>0</v>
      </c>
      <c r="AB54" s="1625"/>
      <c r="AC54" s="109">
        <v>0</v>
      </c>
      <c r="AD54" s="69">
        <f>$K54*AC54/100</f>
        <v>0</v>
      </c>
      <c r="AE54" s="109">
        <v>0</v>
      </c>
      <c r="AF54" s="72">
        <f>$K54*AE54/100</f>
        <v>0</v>
      </c>
      <c r="AG54" s="86"/>
      <c r="AH54" s="72">
        <f>$K54*AG54/100</f>
        <v>0</v>
      </c>
      <c r="AI54" s="1625"/>
      <c r="AJ54" s="109">
        <v>0</v>
      </c>
      <c r="AK54" s="72">
        <f>$K54*AJ54/100</f>
        <v>0</v>
      </c>
      <c r="AL54" s="109"/>
      <c r="AM54" s="72">
        <f>$K54*AL54/100</f>
        <v>0</v>
      </c>
      <c r="AN54" s="1625"/>
      <c r="AO54" s="83"/>
      <c r="AP54" s="84"/>
      <c r="AQ54" s="83"/>
      <c r="AR54" s="83"/>
      <c r="AS54" s="84"/>
      <c r="AT54" s="83"/>
      <c r="AU54" s="83"/>
      <c r="AV54" s="84"/>
      <c r="AW54" s="83"/>
      <c r="AX54" s="83"/>
      <c r="AY54" s="84"/>
      <c r="AZ54" s="83"/>
      <c r="BA54" s="83"/>
      <c r="BB54" s="84"/>
      <c r="BC54" s="83"/>
      <c r="BD54" s="83"/>
      <c r="BE54" s="84"/>
      <c r="BF54" s="83"/>
      <c r="BG54" s="83"/>
      <c r="BH54" s="84"/>
      <c r="BI54" s="83"/>
      <c r="BJ54" s="83"/>
      <c r="BK54" s="84"/>
      <c r="BL54" s="83"/>
      <c r="BM54" s="83"/>
      <c r="BN54" s="84"/>
      <c r="BO54" s="83"/>
      <c r="BP54" s="83"/>
      <c r="BQ54" s="84"/>
      <c r="BR54" s="83"/>
      <c r="BS54" s="83"/>
      <c r="BT54" s="84"/>
      <c r="BU54" s="54"/>
      <c r="BV54" s="39"/>
      <c r="BW54" s="48"/>
      <c r="BX54" s="73"/>
    </row>
    <row r="55" spans="3:77" s="107" customFormat="1" ht="23.25" customHeight="1">
      <c r="C55" s="92"/>
      <c r="D55" s="93" t="s">
        <v>165</v>
      </c>
      <c r="E55" s="93"/>
      <c r="F55" s="94" t="str">
        <f>J55</f>
        <v>НН_Всего</v>
      </c>
      <c r="G55" s="94"/>
      <c r="H55" s="93"/>
      <c r="I55" s="95"/>
      <c r="J55" s="96" t="s">
        <v>166</v>
      </c>
      <c r="K55" s="97"/>
      <c r="L55" s="97"/>
      <c r="M55" s="98"/>
      <c r="N55" s="98"/>
      <c r="O55" s="127">
        <f t="shared" ref="O55:T55" si="36">SUM(O51:O54)</f>
        <v>0</v>
      </c>
      <c r="P55" s="100">
        <f t="shared" si="36"/>
        <v>0</v>
      </c>
      <c r="Q55" s="127">
        <f t="shared" si="36"/>
        <v>0</v>
      </c>
      <c r="R55" s="99">
        <f t="shared" si="36"/>
        <v>0</v>
      </c>
      <c r="S55" s="127">
        <f t="shared" si="36"/>
        <v>0</v>
      </c>
      <c r="T55" s="100">
        <f t="shared" si="36"/>
        <v>0</v>
      </c>
      <c r="U55" s="1626"/>
      <c r="V55" s="127">
        <f>SUM(V51:V54)</f>
        <v>0</v>
      </c>
      <c r="W55" s="100">
        <f>SUM(W51:W54)</f>
        <v>0</v>
      </c>
      <c r="X55" s="127">
        <f>SUM(X51:X54)</f>
        <v>0</v>
      </c>
      <c r="Y55" s="128">
        <f>SUM(Y51:Y54)</f>
        <v>0</v>
      </c>
      <c r="Z55" s="128">
        <f t="shared" ref="Z55:AK55" si="37">SUM(Z51:Z54)</f>
        <v>0</v>
      </c>
      <c r="AA55" s="128">
        <f t="shared" si="37"/>
        <v>0</v>
      </c>
      <c r="AB55" s="1626"/>
      <c r="AC55" s="127">
        <f t="shared" ref="AC55:AH55" si="38">SUM(AC51:AC54)</f>
        <v>0</v>
      </c>
      <c r="AD55" s="100">
        <f t="shared" si="38"/>
        <v>0</v>
      </c>
      <c r="AE55" s="128">
        <f t="shared" si="38"/>
        <v>0</v>
      </c>
      <c r="AF55" s="128">
        <f t="shared" si="38"/>
        <v>0</v>
      </c>
      <c r="AG55" s="128">
        <f t="shared" si="38"/>
        <v>0</v>
      </c>
      <c r="AH55" s="128">
        <f t="shared" si="38"/>
        <v>0</v>
      </c>
      <c r="AI55" s="1626"/>
      <c r="AJ55" s="128">
        <f t="shared" si="37"/>
        <v>0</v>
      </c>
      <c r="AK55" s="128">
        <f t="shared" si="37"/>
        <v>0</v>
      </c>
      <c r="AL55" s="128">
        <f>SUM(AL51:AL54)</f>
        <v>0</v>
      </c>
      <c r="AM55" s="128">
        <f>SUM(AM51:AM54)</f>
        <v>0</v>
      </c>
      <c r="AN55" s="1626"/>
      <c r="AO55" s="102"/>
      <c r="AP55" s="102"/>
      <c r="AQ55" s="103"/>
      <c r="AR55" s="102"/>
      <c r="AS55" s="102"/>
      <c r="AT55" s="103"/>
      <c r="AU55" s="102"/>
      <c r="AV55" s="102"/>
      <c r="AW55" s="103"/>
      <c r="AX55" s="102"/>
      <c r="AY55" s="102"/>
      <c r="AZ55" s="103"/>
      <c r="BA55" s="102"/>
      <c r="BB55" s="102"/>
      <c r="BC55" s="103"/>
      <c r="BD55" s="102"/>
      <c r="BE55" s="102"/>
      <c r="BF55" s="103"/>
      <c r="BG55" s="102"/>
      <c r="BH55" s="102"/>
      <c r="BI55" s="103"/>
      <c r="BJ55" s="102"/>
      <c r="BK55" s="102"/>
      <c r="BL55" s="103"/>
      <c r="BM55" s="102"/>
      <c r="BN55" s="102"/>
      <c r="BO55" s="103"/>
      <c r="BP55" s="102"/>
      <c r="BQ55" s="102"/>
      <c r="BR55" s="103"/>
      <c r="BS55" s="102"/>
      <c r="BT55" s="102"/>
      <c r="BU55" s="104"/>
      <c r="BV55" s="92"/>
      <c r="BW55" s="105"/>
      <c r="BX55" s="106"/>
      <c r="BY55" s="15"/>
    </row>
    <row r="56" spans="3:77" s="136" customFormat="1" ht="13.15" customHeight="1">
      <c r="C56" s="129"/>
      <c r="D56" s="2254" t="s">
        <v>167</v>
      </c>
      <c r="E56" s="2254"/>
      <c r="F56" s="130"/>
      <c r="G56" s="130"/>
      <c r="H56" s="131" t="s">
        <v>168</v>
      </c>
      <c r="I56" s="2254"/>
      <c r="J56" s="2257"/>
      <c r="K56" s="2260"/>
      <c r="L56" s="132"/>
      <c r="M56" s="98"/>
      <c r="N56" s="98"/>
      <c r="O56" s="127">
        <f t="shared" ref="O56:T56" si="39">O37</f>
        <v>0</v>
      </c>
      <c r="P56" s="100">
        <f t="shared" si="39"/>
        <v>0</v>
      </c>
      <c r="Q56" s="127">
        <f t="shared" si="39"/>
        <v>0</v>
      </c>
      <c r="R56" s="99">
        <f t="shared" si="39"/>
        <v>0</v>
      </c>
      <c r="S56" s="127">
        <f t="shared" si="39"/>
        <v>0</v>
      </c>
      <c r="T56" s="100">
        <f t="shared" si="39"/>
        <v>0</v>
      </c>
      <c r="U56" s="1626"/>
      <c r="V56" s="127">
        <f>V37</f>
        <v>0</v>
      </c>
      <c r="W56" s="100">
        <f>W37</f>
        <v>0</v>
      </c>
      <c r="X56" s="127">
        <f>X37</f>
        <v>0</v>
      </c>
      <c r="Y56" s="128">
        <f>Y37</f>
        <v>0</v>
      </c>
      <c r="Z56" s="128">
        <f t="shared" ref="Z56:AK56" si="40">Z37</f>
        <v>0</v>
      </c>
      <c r="AA56" s="128">
        <f t="shared" si="40"/>
        <v>0</v>
      </c>
      <c r="AB56" s="1626"/>
      <c r="AC56" s="127">
        <f t="shared" ref="AC56:AH56" si="41">AC37</f>
        <v>0</v>
      </c>
      <c r="AD56" s="100">
        <f t="shared" si="41"/>
        <v>0</v>
      </c>
      <c r="AE56" s="128">
        <f t="shared" si="41"/>
        <v>0</v>
      </c>
      <c r="AF56" s="128">
        <f t="shared" si="41"/>
        <v>0</v>
      </c>
      <c r="AG56" s="128">
        <f t="shared" si="41"/>
        <v>0</v>
      </c>
      <c r="AH56" s="128">
        <f t="shared" si="41"/>
        <v>0</v>
      </c>
      <c r="AI56" s="1626"/>
      <c r="AJ56" s="128">
        <f t="shared" si="40"/>
        <v>0</v>
      </c>
      <c r="AK56" s="128">
        <f t="shared" si="40"/>
        <v>0</v>
      </c>
      <c r="AL56" s="128">
        <f>AL37</f>
        <v>0</v>
      </c>
      <c r="AM56" s="128">
        <f>AM37</f>
        <v>0</v>
      </c>
      <c r="AN56" s="1626"/>
      <c r="AO56" s="102"/>
      <c r="AP56" s="102"/>
      <c r="AQ56" s="133"/>
      <c r="AR56" s="102"/>
      <c r="AS56" s="102"/>
      <c r="AT56" s="133"/>
      <c r="AU56" s="102"/>
      <c r="AV56" s="102"/>
      <c r="AW56" s="133"/>
      <c r="AX56" s="102"/>
      <c r="AY56" s="102"/>
      <c r="AZ56" s="133"/>
      <c r="BA56" s="102"/>
      <c r="BB56" s="102"/>
      <c r="BC56" s="133"/>
      <c r="BD56" s="102"/>
      <c r="BE56" s="102"/>
      <c r="BF56" s="133"/>
      <c r="BG56" s="102"/>
      <c r="BH56" s="102"/>
      <c r="BI56" s="133"/>
      <c r="BJ56" s="102"/>
      <c r="BK56" s="102"/>
      <c r="BL56" s="133"/>
      <c r="BM56" s="102"/>
      <c r="BN56" s="102"/>
      <c r="BO56" s="133"/>
      <c r="BP56" s="102"/>
      <c r="BQ56" s="102"/>
      <c r="BR56" s="133"/>
      <c r="BS56" s="102"/>
      <c r="BT56" s="102"/>
      <c r="BU56" s="134"/>
      <c r="BV56" s="129"/>
      <c r="BW56" s="135"/>
      <c r="BX56" s="106"/>
      <c r="BY56" s="15"/>
    </row>
    <row r="57" spans="3:77" s="136" customFormat="1">
      <c r="C57" s="129"/>
      <c r="D57" s="2255"/>
      <c r="E57" s="2255"/>
      <c r="F57" s="130"/>
      <c r="G57" s="130"/>
      <c r="H57" s="131" t="s">
        <v>169</v>
      </c>
      <c r="I57" s="2255"/>
      <c r="J57" s="2258"/>
      <c r="K57" s="2260"/>
      <c r="L57" s="132"/>
      <c r="M57" s="98"/>
      <c r="N57" s="98"/>
      <c r="O57" s="127">
        <f t="shared" ref="O57:P57" si="42">O49</f>
        <v>0</v>
      </c>
      <c r="P57" s="100">
        <f t="shared" si="42"/>
        <v>0</v>
      </c>
      <c r="Q57" s="127">
        <f t="shared" ref="Q57:R57" si="43">Q49</f>
        <v>0</v>
      </c>
      <c r="R57" s="99">
        <f t="shared" si="43"/>
        <v>0</v>
      </c>
      <c r="S57" s="127">
        <f t="shared" ref="S57:AK58" si="44">S49</f>
        <v>0</v>
      </c>
      <c r="T57" s="100">
        <f t="shared" si="44"/>
        <v>0</v>
      </c>
      <c r="U57" s="1626"/>
      <c r="V57" s="127">
        <f t="shared" si="44"/>
        <v>0</v>
      </c>
      <c r="W57" s="100">
        <f t="shared" si="44"/>
        <v>0</v>
      </c>
      <c r="X57" s="127">
        <f t="shared" si="44"/>
        <v>0</v>
      </c>
      <c r="Y57" s="128">
        <f t="shared" si="44"/>
        <v>0</v>
      </c>
      <c r="Z57" s="128">
        <f t="shared" si="44"/>
        <v>0</v>
      </c>
      <c r="AA57" s="128">
        <f t="shared" si="44"/>
        <v>0</v>
      </c>
      <c r="AB57" s="1626"/>
      <c r="AC57" s="127">
        <f t="shared" ref="AC57:AD57" si="45">AC49</f>
        <v>0</v>
      </c>
      <c r="AD57" s="100">
        <f t="shared" si="45"/>
        <v>0</v>
      </c>
      <c r="AE57" s="128">
        <f t="shared" si="44"/>
        <v>0</v>
      </c>
      <c r="AF57" s="128">
        <f t="shared" si="44"/>
        <v>0</v>
      </c>
      <c r="AG57" s="128">
        <f t="shared" si="44"/>
        <v>0</v>
      </c>
      <c r="AH57" s="128">
        <f t="shared" si="44"/>
        <v>0</v>
      </c>
      <c r="AI57" s="1626"/>
      <c r="AJ57" s="128">
        <f t="shared" si="44"/>
        <v>0</v>
      </c>
      <c r="AK57" s="128">
        <f t="shared" si="44"/>
        <v>0</v>
      </c>
      <c r="AL57" s="128">
        <f>AL49</f>
        <v>0</v>
      </c>
      <c r="AM57" s="128">
        <f>AM49</f>
        <v>0</v>
      </c>
      <c r="AN57" s="1626"/>
      <c r="AO57" s="102"/>
      <c r="AP57" s="102"/>
      <c r="AQ57" s="133"/>
      <c r="AR57" s="102"/>
      <c r="AS57" s="102"/>
      <c r="AT57" s="133"/>
      <c r="AU57" s="102"/>
      <c r="AV57" s="102"/>
      <c r="AW57" s="133"/>
      <c r="AX57" s="102"/>
      <c r="AY57" s="102"/>
      <c r="AZ57" s="133"/>
      <c r="BA57" s="102"/>
      <c r="BB57" s="102"/>
      <c r="BC57" s="133"/>
      <c r="BD57" s="102"/>
      <c r="BE57" s="102"/>
      <c r="BF57" s="133"/>
      <c r="BG57" s="102"/>
      <c r="BH57" s="102"/>
      <c r="BI57" s="133"/>
      <c r="BJ57" s="102"/>
      <c r="BK57" s="102"/>
      <c r="BL57" s="133"/>
      <c r="BM57" s="102"/>
      <c r="BN57" s="102"/>
      <c r="BO57" s="133"/>
      <c r="BP57" s="102"/>
      <c r="BQ57" s="102"/>
      <c r="BR57" s="133"/>
      <c r="BS57" s="102"/>
      <c r="BT57" s="102"/>
      <c r="BU57" s="134"/>
      <c r="BV57" s="129"/>
      <c r="BW57" s="135"/>
      <c r="BX57" s="106"/>
      <c r="BY57" s="15"/>
    </row>
    <row r="58" spans="3:77" s="136" customFormat="1">
      <c r="C58" s="129"/>
      <c r="D58" s="2255"/>
      <c r="E58" s="2255"/>
      <c r="F58" s="130"/>
      <c r="G58" s="130"/>
      <c r="H58" s="131" t="s">
        <v>170</v>
      </c>
      <c r="I58" s="2255"/>
      <c r="J58" s="2258"/>
      <c r="K58" s="2260"/>
      <c r="L58" s="132"/>
      <c r="M58" s="98"/>
      <c r="N58" s="98"/>
      <c r="O58" s="127">
        <f t="shared" ref="O58:P58" si="46">O50</f>
        <v>0</v>
      </c>
      <c r="P58" s="100">
        <f t="shared" si="46"/>
        <v>0</v>
      </c>
      <c r="Q58" s="127">
        <f t="shared" ref="Q58:R58" si="47">Q50</f>
        <v>0</v>
      </c>
      <c r="R58" s="99">
        <f t="shared" si="47"/>
        <v>0</v>
      </c>
      <c r="S58" s="127">
        <f t="shared" si="44"/>
        <v>0</v>
      </c>
      <c r="T58" s="100">
        <f t="shared" si="44"/>
        <v>0</v>
      </c>
      <c r="U58" s="1626"/>
      <c r="V58" s="127">
        <f t="shared" si="44"/>
        <v>0</v>
      </c>
      <c r="W58" s="100">
        <f t="shared" si="44"/>
        <v>0</v>
      </c>
      <c r="X58" s="127">
        <f t="shared" si="44"/>
        <v>0</v>
      </c>
      <c r="Y58" s="128">
        <f t="shared" si="44"/>
        <v>0</v>
      </c>
      <c r="Z58" s="128">
        <f t="shared" si="44"/>
        <v>0</v>
      </c>
      <c r="AA58" s="128">
        <f t="shared" si="44"/>
        <v>0</v>
      </c>
      <c r="AB58" s="1626"/>
      <c r="AC58" s="127">
        <f t="shared" ref="AC58:AD58" si="48">AC50</f>
        <v>0</v>
      </c>
      <c r="AD58" s="100">
        <f t="shared" si="48"/>
        <v>0</v>
      </c>
      <c r="AE58" s="128">
        <f t="shared" si="44"/>
        <v>0</v>
      </c>
      <c r="AF58" s="128">
        <f t="shared" si="44"/>
        <v>0</v>
      </c>
      <c r="AG58" s="128">
        <f t="shared" si="44"/>
        <v>0</v>
      </c>
      <c r="AH58" s="128">
        <f t="shared" si="44"/>
        <v>0</v>
      </c>
      <c r="AI58" s="1626"/>
      <c r="AJ58" s="128">
        <f t="shared" si="44"/>
        <v>0</v>
      </c>
      <c r="AK58" s="128">
        <f t="shared" si="44"/>
        <v>0</v>
      </c>
      <c r="AL58" s="128">
        <f>AL50</f>
        <v>0</v>
      </c>
      <c r="AM58" s="128">
        <f>AM50</f>
        <v>0</v>
      </c>
      <c r="AN58" s="1626"/>
      <c r="AO58" s="102"/>
      <c r="AP58" s="102"/>
      <c r="AQ58" s="133"/>
      <c r="AR58" s="102"/>
      <c r="AS58" s="102"/>
      <c r="AT58" s="133"/>
      <c r="AU58" s="102"/>
      <c r="AV58" s="102"/>
      <c r="AW58" s="133"/>
      <c r="AX58" s="102"/>
      <c r="AY58" s="102"/>
      <c r="AZ58" s="133"/>
      <c r="BA58" s="102"/>
      <c r="BB58" s="102"/>
      <c r="BC58" s="133"/>
      <c r="BD58" s="102"/>
      <c r="BE58" s="102"/>
      <c r="BF58" s="133"/>
      <c r="BG58" s="102"/>
      <c r="BH58" s="102"/>
      <c r="BI58" s="133"/>
      <c r="BJ58" s="102"/>
      <c r="BK58" s="102"/>
      <c r="BL58" s="133"/>
      <c r="BM58" s="102"/>
      <c r="BN58" s="102"/>
      <c r="BO58" s="133"/>
      <c r="BP58" s="102"/>
      <c r="BQ58" s="102"/>
      <c r="BR58" s="133"/>
      <c r="BS58" s="102"/>
      <c r="BT58" s="102"/>
      <c r="BU58" s="134"/>
      <c r="BV58" s="129"/>
      <c r="BW58" s="135"/>
      <c r="BX58" s="106"/>
      <c r="BY58" s="15"/>
    </row>
    <row r="59" spans="3:77" s="136" customFormat="1">
      <c r="C59" s="129"/>
      <c r="D59" s="2255"/>
      <c r="E59" s="2255"/>
      <c r="F59" s="130"/>
      <c r="G59" s="130"/>
      <c r="H59" s="131" t="s">
        <v>171</v>
      </c>
      <c r="I59" s="2255"/>
      <c r="J59" s="2258"/>
      <c r="K59" s="2260"/>
      <c r="L59" s="132"/>
      <c r="M59" s="98"/>
      <c r="N59" s="98"/>
      <c r="O59" s="127">
        <f t="shared" ref="O59:T59" si="49">O55</f>
        <v>0</v>
      </c>
      <c r="P59" s="100">
        <f t="shared" si="49"/>
        <v>0</v>
      </c>
      <c r="Q59" s="127">
        <f t="shared" si="49"/>
        <v>0</v>
      </c>
      <c r="R59" s="99">
        <f t="shared" si="49"/>
        <v>0</v>
      </c>
      <c r="S59" s="127">
        <f t="shared" si="49"/>
        <v>0</v>
      </c>
      <c r="T59" s="100">
        <f t="shared" si="49"/>
        <v>0</v>
      </c>
      <c r="U59" s="1626"/>
      <c r="V59" s="127">
        <f>V55</f>
        <v>0</v>
      </c>
      <c r="W59" s="100">
        <f>W55</f>
        <v>0</v>
      </c>
      <c r="X59" s="127">
        <f>X55</f>
        <v>0</v>
      </c>
      <c r="Y59" s="128">
        <f>Y55</f>
        <v>0</v>
      </c>
      <c r="Z59" s="128">
        <f t="shared" ref="Z59:AK59" si="50">Z55</f>
        <v>0</v>
      </c>
      <c r="AA59" s="128">
        <f t="shared" si="50"/>
        <v>0</v>
      </c>
      <c r="AB59" s="1626"/>
      <c r="AC59" s="127">
        <f t="shared" ref="AC59:AH59" si="51">AC55</f>
        <v>0</v>
      </c>
      <c r="AD59" s="100">
        <f t="shared" si="51"/>
        <v>0</v>
      </c>
      <c r="AE59" s="128">
        <f t="shared" si="51"/>
        <v>0</v>
      </c>
      <c r="AF59" s="128">
        <f t="shared" si="51"/>
        <v>0</v>
      </c>
      <c r="AG59" s="128">
        <f t="shared" si="51"/>
        <v>0</v>
      </c>
      <c r="AH59" s="128">
        <f t="shared" si="51"/>
        <v>0</v>
      </c>
      <c r="AI59" s="1626"/>
      <c r="AJ59" s="128">
        <f t="shared" si="50"/>
        <v>0</v>
      </c>
      <c r="AK59" s="128">
        <f t="shared" si="50"/>
        <v>0</v>
      </c>
      <c r="AL59" s="128">
        <f>AL55</f>
        <v>0</v>
      </c>
      <c r="AM59" s="128">
        <f>AM55</f>
        <v>0</v>
      </c>
      <c r="AN59" s="1626"/>
      <c r="AO59" s="102"/>
      <c r="AP59" s="102"/>
      <c r="AQ59" s="133"/>
      <c r="AR59" s="102"/>
      <c r="AS59" s="102"/>
      <c r="AT59" s="133"/>
      <c r="AU59" s="102"/>
      <c r="AV59" s="102"/>
      <c r="AW59" s="133"/>
      <c r="AX59" s="102"/>
      <c r="AY59" s="102"/>
      <c r="AZ59" s="133"/>
      <c r="BA59" s="102"/>
      <c r="BB59" s="102"/>
      <c r="BC59" s="133"/>
      <c r="BD59" s="102"/>
      <c r="BE59" s="102"/>
      <c r="BF59" s="133"/>
      <c r="BG59" s="102"/>
      <c r="BH59" s="102"/>
      <c r="BI59" s="133"/>
      <c r="BJ59" s="102"/>
      <c r="BK59" s="102"/>
      <c r="BL59" s="133"/>
      <c r="BM59" s="102"/>
      <c r="BN59" s="102"/>
      <c r="BO59" s="133"/>
      <c r="BP59" s="102"/>
      <c r="BQ59" s="102"/>
      <c r="BR59" s="133"/>
      <c r="BS59" s="102"/>
      <c r="BT59" s="102"/>
      <c r="BU59" s="134"/>
      <c r="BV59" s="129"/>
      <c r="BW59" s="135"/>
      <c r="BX59" s="106"/>
      <c r="BY59" s="15"/>
    </row>
    <row r="60" spans="3:77" s="136" customFormat="1">
      <c r="C60" s="129"/>
      <c r="D60" s="2256"/>
      <c r="E60" s="2256"/>
      <c r="F60" s="130"/>
      <c r="G60" s="130"/>
      <c r="H60" s="137" t="s">
        <v>172</v>
      </c>
      <c r="I60" s="2256"/>
      <c r="J60" s="2259"/>
      <c r="K60" s="2260"/>
      <c r="L60" s="138"/>
      <c r="M60" s="98"/>
      <c r="N60" s="98"/>
      <c r="O60" s="127">
        <f t="shared" ref="O60:T60" si="52">O56+O57+O58+O59</f>
        <v>0</v>
      </c>
      <c r="P60" s="100">
        <f t="shared" si="52"/>
        <v>0</v>
      </c>
      <c r="Q60" s="127">
        <f t="shared" si="52"/>
        <v>0</v>
      </c>
      <c r="R60" s="99">
        <f t="shared" si="52"/>
        <v>0</v>
      </c>
      <c r="S60" s="127">
        <f t="shared" si="52"/>
        <v>0</v>
      </c>
      <c r="T60" s="100">
        <f t="shared" si="52"/>
        <v>0</v>
      </c>
      <c r="U60" s="1626"/>
      <c r="V60" s="127">
        <f>V56+V57+V58+V59</f>
        <v>0</v>
      </c>
      <c r="W60" s="100">
        <f>W56+W57+W58+W59</f>
        <v>0</v>
      </c>
      <c r="X60" s="127">
        <f>X56+X57+X58+X59</f>
        <v>0</v>
      </c>
      <c r="Y60" s="128">
        <f>Y56+Y57+Y58+Y59</f>
        <v>0</v>
      </c>
      <c r="Z60" s="128">
        <f t="shared" ref="Z60:AK60" si="53">Z56+Z57+Z58+Z59</f>
        <v>0</v>
      </c>
      <c r="AA60" s="128">
        <f t="shared" si="53"/>
        <v>0</v>
      </c>
      <c r="AB60" s="1626"/>
      <c r="AC60" s="127">
        <f t="shared" ref="AC60:AH60" si="54">AC56+AC57+AC58+AC59</f>
        <v>0</v>
      </c>
      <c r="AD60" s="100">
        <f t="shared" si="54"/>
        <v>0</v>
      </c>
      <c r="AE60" s="128">
        <f t="shared" si="54"/>
        <v>0</v>
      </c>
      <c r="AF60" s="128">
        <f t="shared" si="54"/>
        <v>0</v>
      </c>
      <c r="AG60" s="128">
        <f t="shared" si="54"/>
        <v>0</v>
      </c>
      <c r="AH60" s="128">
        <f t="shared" si="54"/>
        <v>0</v>
      </c>
      <c r="AI60" s="1626"/>
      <c r="AJ60" s="128">
        <f t="shared" si="53"/>
        <v>0</v>
      </c>
      <c r="AK60" s="128">
        <f t="shared" si="53"/>
        <v>0</v>
      </c>
      <c r="AL60" s="128">
        <f>AL56+AL57+AL58+AL59</f>
        <v>0</v>
      </c>
      <c r="AM60" s="128">
        <f>AM56+AM57+AM58+AM59</f>
        <v>0</v>
      </c>
      <c r="AN60" s="1626"/>
      <c r="AO60" s="102"/>
      <c r="AP60" s="102"/>
      <c r="AQ60" s="139"/>
      <c r="AR60" s="102"/>
      <c r="AS60" s="102"/>
      <c r="AT60" s="139"/>
      <c r="AU60" s="102"/>
      <c r="AV60" s="102"/>
      <c r="AW60" s="139"/>
      <c r="AX60" s="102"/>
      <c r="AY60" s="102"/>
      <c r="AZ60" s="139"/>
      <c r="BA60" s="102"/>
      <c r="BB60" s="102"/>
      <c r="BC60" s="139"/>
      <c r="BD60" s="102"/>
      <c r="BE60" s="102"/>
      <c r="BF60" s="139"/>
      <c r="BG60" s="102"/>
      <c r="BH60" s="102"/>
      <c r="BI60" s="139"/>
      <c r="BJ60" s="102"/>
      <c r="BK60" s="102"/>
      <c r="BL60" s="139"/>
      <c r="BM60" s="102"/>
      <c r="BN60" s="102"/>
      <c r="BO60" s="139"/>
      <c r="BP60" s="102"/>
      <c r="BQ60" s="102"/>
      <c r="BR60" s="139"/>
      <c r="BS60" s="102"/>
      <c r="BT60" s="102"/>
      <c r="BU60" s="134"/>
      <c r="BV60" s="129"/>
      <c r="BW60" s="135"/>
      <c r="BX60" s="106"/>
      <c r="BY60" s="15"/>
    </row>
    <row r="61" spans="3:77" s="16" customFormat="1">
      <c r="C61" s="40"/>
      <c r="D61" s="40"/>
      <c r="E61" s="40"/>
      <c r="F61" s="40"/>
      <c r="G61" s="40"/>
      <c r="H61" s="40"/>
      <c r="I61" s="140"/>
      <c r="J61" s="40"/>
      <c r="K61" s="40"/>
      <c r="L61" s="141"/>
      <c r="M61" s="141"/>
      <c r="N61" s="141"/>
      <c r="O61" s="142"/>
      <c r="P61" s="40"/>
      <c r="Q61" s="142"/>
      <c r="R61" s="40"/>
      <c r="S61" s="142"/>
      <c r="T61" s="40"/>
      <c r="U61" s="40"/>
      <c r="V61" s="142"/>
      <c r="W61" s="40"/>
      <c r="X61" s="142"/>
      <c r="Y61" s="142"/>
      <c r="Z61" s="142"/>
      <c r="AA61" s="142"/>
      <c r="AB61" s="40"/>
      <c r="AC61" s="142"/>
      <c r="AD61" s="40"/>
      <c r="AE61" s="142"/>
      <c r="AF61" s="142"/>
      <c r="AG61" s="142"/>
      <c r="AH61" s="142"/>
      <c r="AI61" s="40"/>
      <c r="AJ61" s="142"/>
      <c r="AK61" s="142"/>
      <c r="AL61" s="142"/>
      <c r="AM61" s="142"/>
      <c r="AN61" s="40"/>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40"/>
      <c r="BV61" s="40"/>
      <c r="BW61" s="40"/>
      <c r="BX61" s="143"/>
    </row>
    <row r="62" spans="3:77" s="16" customFormat="1">
      <c r="I62" s="144"/>
      <c r="L62" s="145"/>
      <c r="M62" s="145"/>
      <c r="N62" s="145"/>
    </row>
    <row r="63" spans="3:77" s="16" customFormat="1">
      <c r="I63" s="144"/>
      <c r="L63" s="145"/>
      <c r="M63" s="145"/>
      <c r="N63" s="145"/>
    </row>
    <row r="64" spans="3:77" s="16" customFormat="1">
      <c r="I64" s="144"/>
      <c r="L64" s="145"/>
      <c r="M64" s="145"/>
      <c r="N64" s="145"/>
    </row>
    <row r="65" spans="9:14" s="16" customFormat="1">
      <c r="I65" s="144"/>
      <c r="L65" s="145"/>
      <c r="M65" s="145"/>
      <c r="N65" s="145"/>
    </row>
    <row r="66" spans="9:14" s="16" customFormat="1">
      <c r="I66" s="144"/>
      <c r="L66" s="145"/>
      <c r="M66" s="145"/>
      <c r="N66" s="145"/>
    </row>
    <row r="67" spans="9:14" s="16" customFormat="1">
      <c r="I67" s="144"/>
      <c r="L67" s="145"/>
      <c r="M67" s="145"/>
      <c r="N67" s="145"/>
    </row>
    <row r="68" spans="9:14" s="16" customFormat="1">
      <c r="I68" s="144"/>
      <c r="L68" s="145"/>
      <c r="M68" s="145"/>
      <c r="N68" s="145"/>
    </row>
    <row r="69" spans="9:14" s="16" customFormat="1">
      <c r="I69" s="144"/>
      <c r="L69" s="145"/>
      <c r="M69" s="145"/>
      <c r="N69" s="145"/>
    </row>
    <row r="70" spans="9:14" s="16" customFormat="1">
      <c r="I70" s="144"/>
      <c r="L70" s="145"/>
      <c r="M70" s="145"/>
      <c r="N70" s="145"/>
    </row>
    <row r="71" spans="9:14" s="16" customFormat="1">
      <c r="I71" s="144"/>
      <c r="L71" s="145"/>
      <c r="M71" s="145"/>
      <c r="N71" s="145"/>
    </row>
    <row r="72" spans="9:14" s="16" customFormat="1">
      <c r="I72" s="144"/>
      <c r="L72" s="145"/>
      <c r="M72" s="145"/>
      <c r="N72" s="145"/>
    </row>
    <row r="73" spans="9:14" s="16" customFormat="1">
      <c r="I73" s="144"/>
      <c r="L73" s="145"/>
      <c r="M73" s="145"/>
      <c r="N73" s="145"/>
    </row>
    <row r="74" spans="9:14" s="16" customFormat="1">
      <c r="I74" s="144"/>
      <c r="L74" s="145"/>
      <c r="M74" s="145"/>
      <c r="N74" s="145"/>
    </row>
    <row r="75" spans="9:14" s="16" customFormat="1">
      <c r="I75" s="144"/>
      <c r="L75" s="145"/>
      <c r="M75" s="145"/>
      <c r="N75" s="145"/>
    </row>
    <row r="76" spans="9:14" s="16" customFormat="1">
      <c r="I76" s="144"/>
      <c r="L76" s="145"/>
      <c r="M76" s="145"/>
      <c r="N76" s="145"/>
    </row>
    <row r="77" spans="9:14" s="16" customFormat="1">
      <c r="I77" s="144"/>
      <c r="L77" s="145"/>
      <c r="M77" s="145"/>
      <c r="N77" s="145"/>
    </row>
    <row r="78" spans="9:14" s="16" customFormat="1">
      <c r="I78" s="144"/>
      <c r="L78" s="145"/>
      <c r="M78" s="145"/>
      <c r="N78" s="145"/>
    </row>
    <row r="79" spans="9:14" s="16" customFormat="1">
      <c r="I79" s="144"/>
      <c r="L79" s="145"/>
      <c r="M79" s="145"/>
      <c r="N79" s="145"/>
    </row>
    <row r="80" spans="9:14" s="16" customFormat="1">
      <c r="I80" s="144"/>
      <c r="L80" s="145"/>
      <c r="M80" s="145"/>
      <c r="N80" s="145"/>
    </row>
    <row r="81" spans="9:14" s="16" customFormat="1">
      <c r="I81" s="144"/>
      <c r="L81" s="145"/>
      <c r="M81" s="145"/>
      <c r="N81" s="145"/>
    </row>
    <row r="82" spans="9:14" s="16" customFormat="1">
      <c r="I82" s="144"/>
      <c r="L82" s="145"/>
      <c r="M82" s="145"/>
      <c r="N82" s="145"/>
    </row>
    <row r="83" spans="9:14" s="16" customFormat="1">
      <c r="I83" s="144"/>
      <c r="L83" s="145"/>
      <c r="M83" s="145"/>
      <c r="N83" s="145"/>
    </row>
    <row r="84" spans="9:14" s="16" customFormat="1">
      <c r="I84" s="144"/>
      <c r="L84" s="145"/>
      <c r="M84" s="145"/>
      <c r="N84" s="145"/>
    </row>
    <row r="85" spans="9:14" s="16" customFormat="1">
      <c r="I85" s="144"/>
      <c r="L85" s="145"/>
      <c r="M85" s="145"/>
      <c r="N85" s="145"/>
    </row>
    <row r="86" spans="9:14" s="16" customFormat="1">
      <c r="I86" s="144"/>
      <c r="L86" s="145"/>
      <c r="M86" s="145"/>
      <c r="N86" s="145"/>
    </row>
    <row r="87" spans="9:14" s="16" customFormat="1">
      <c r="I87" s="144"/>
      <c r="L87" s="145"/>
      <c r="M87" s="145"/>
      <c r="N87" s="145"/>
    </row>
    <row r="88" spans="9:14" s="16" customFormat="1">
      <c r="I88" s="144"/>
      <c r="L88" s="145"/>
      <c r="M88" s="145"/>
      <c r="N88" s="145"/>
    </row>
    <row r="89" spans="9:14" s="16" customFormat="1">
      <c r="I89" s="144"/>
      <c r="L89" s="145"/>
      <c r="M89" s="145"/>
      <c r="N89" s="145"/>
    </row>
    <row r="90" spans="9:14" s="16" customFormat="1">
      <c r="I90" s="144"/>
      <c r="L90" s="145"/>
      <c r="M90" s="145"/>
      <c r="N90" s="145"/>
    </row>
    <row r="91" spans="9:14" s="16" customFormat="1">
      <c r="I91" s="144"/>
      <c r="L91" s="145"/>
      <c r="M91" s="145"/>
      <c r="N91" s="145"/>
    </row>
    <row r="92" spans="9:14" s="16" customFormat="1">
      <c r="I92" s="144"/>
      <c r="L92" s="145"/>
      <c r="M92" s="145"/>
      <c r="N92" s="145"/>
    </row>
    <row r="93" spans="9:14" s="16" customFormat="1">
      <c r="I93" s="144"/>
      <c r="L93" s="145"/>
      <c r="M93" s="145"/>
      <c r="N93" s="145"/>
    </row>
    <row r="94" spans="9:14" s="16" customFormat="1">
      <c r="I94" s="144"/>
      <c r="L94" s="145"/>
      <c r="M94" s="145"/>
      <c r="N94" s="145"/>
    </row>
    <row r="95" spans="9:14" s="16" customFormat="1">
      <c r="I95" s="144"/>
      <c r="L95" s="145"/>
      <c r="M95" s="145"/>
      <c r="N95" s="145"/>
    </row>
    <row r="96" spans="9:14" s="16" customFormat="1">
      <c r="I96" s="144"/>
      <c r="L96" s="145"/>
      <c r="M96" s="145"/>
      <c r="N96" s="145"/>
    </row>
    <row r="97" spans="9:14" s="16" customFormat="1">
      <c r="I97" s="144"/>
      <c r="L97" s="145"/>
      <c r="M97" s="145"/>
      <c r="N97" s="145"/>
    </row>
    <row r="98" spans="9:14" s="16" customFormat="1">
      <c r="I98" s="144"/>
      <c r="L98" s="145"/>
      <c r="M98" s="145"/>
      <c r="N98" s="145"/>
    </row>
    <row r="99" spans="9:14" s="16" customFormat="1">
      <c r="I99" s="144"/>
      <c r="L99" s="145"/>
      <c r="M99" s="145"/>
      <c r="N99" s="145"/>
    </row>
    <row r="100" spans="9:14" s="16" customFormat="1">
      <c r="I100" s="144"/>
      <c r="L100" s="145"/>
      <c r="M100" s="145"/>
      <c r="N100" s="145"/>
    </row>
    <row r="101" spans="9:14" s="16" customFormat="1">
      <c r="I101" s="144"/>
      <c r="L101" s="145"/>
      <c r="M101" s="145"/>
      <c r="N101" s="145"/>
    </row>
    <row r="102" spans="9:14" s="16" customFormat="1">
      <c r="I102" s="144"/>
      <c r="L102" s="145"/>
      <c r="M102" s="145"/>
      <c r="N102" s="145"/>
    </row>
    <row r="103" spans="9:14" s="16" customFormat="1">
      <c r="I103" s="144"/>
      <c r="L103" s="145"/>
      <c r="M103" s="145"/>
      <c r="N103" s="145"/>
    </row>
    <row r="104" spans="9:14" s="16" customFormat="1">
      <c r="I104" s="144"/>
      <c r="L104" s="145"/>
      <c r="M104" s="145"/>
      <c r="N104" s="145"/>
    </row>
    <row r="105" spans="9:14" s="16" customFormat="1">
      <c r="I105" s="144"/>
      <c r="L105" s="145"/>
      <c r="M105" s="145"/>
      <c r="N105" s="145"/>
    </row>
    <row r="106" spans="9:14" s="16" customFormat="1">
      <c r="I106" s="144"/>
      <c r="L106" s="145"/>
      <c r="M106" s="145"/>
      <c r="N106" s="145"/>
    </row>
    <row r="107" spans="9:14" s="16" customFormat="1">
      <c r="I107" s="144"/>
      <c r="L107" s="145"/>
      <c r="M107" s="145"/>
      <c r="N107" s="145"/>
    </row>
    <row r="108" spans="9:14" s="16" customFormat="1">
      <c r="I108" s="144"/>
      <c r="L108" s="145"/>
      <c r="M108" s="145"/>
      <c r="N108" s="145"/>
    </row>
    <row r="109" spans="9:14" s="16" customFormat="1">
      <c r="I109" s="144"/>
      <c r="L109" s="145"/>
      <c r="M109" s="145"/>
      <c r="N109" s="145"/>
    </row>
    <row r="110" spans="9:14" s="16" customFormat="1">
      <c r="I110" s="144"/>
      <c r="L110" s="145"/>
      <c r="M110" s="145"/>
      <c r="N110" s="145"/>
    </row>
    <row r="111" spans="9:14">
      <c r="K111" s="15"/>
    </row>
    <row r="112" spans="9:14">
      <c r="K112" s="15"/>
    </row>
    <row r="113" spans="11:11">
      <c r="K113" s="15"/>
    </row>
    <row r="114" spans="11:11">
      <c r="K114" s="15"/>
    </row>
    <row r="115" spans="11:11">
      <c r="K115" s="15"/>
    </row>
    <row r="116" spans="11:11">
      <c r="K116" s="15"/>
    </row>
    <row r="117" spans="11:11">
      <c r="K117" s="15"/>
    </row>
    <row r="118" spans="11:11">
      <c r="K118" s="15"/>
    </row>
    <row r="119" spans="11:11">
      <c r="K119" s="15"/>
    </row>
    <row r="120" spans="11:11">
      <c r="K120" s="15"/>
    </row>
    <row r="121" spans="11:11">
      <c r="K121" s="15"/>
    </row>
    <row r="122" spans="11:11">
      <c r="K122" s="15"/>
    </row>
    <row r="123" spans="11:11">
      <c r="K123" s="15"/>
    </row>
    <row r="124" spans="11:11">
      <c r="K124" s="15"/>
    </row>
    <row r="125" spans="11:11">
      <c r="K125" s="15"/>
    </row>
    <row r="126" spans="11:11">
      <c r="K126" s="15"/>
    </row>
    <row r="127" spans="11:11">
      <c r="K127" s="15"/>
    </row>
    <row r="128" spans="11:11">
      <c r="K128" s="15"/>
    </row>
    <row r="129" spans="11:11">
      <c r="K129" s="15"/>
    </row>
    <row r="130" spans="11:11">
      <c r="K130" s="15"/>
    </row>
    <row r="131" spans="11:11">
      <c r="K131" s="15"/>
    </row>
    <row r="132" spans="11:11">
      <c r="K132" s="15"/>
    </row>
    <row r="133" spans="11:11">
      <c r="K133" s="15"/>
    </row>
    <row r="134" spans="11:11">
      <c r="K134" s="15"/>
    </row>
    <row r="135" spans="11:11">
      <c r="K135" s="15"/>
    </row>
    <row r="136" spans="11:11">
      <c r="K136" s="15"/>
    </row>
    <row r="137" spans="11:11">
      <c r="K137" s="15"/>
    </row>
    <row r="138" spans="11:11">
      <c r="K138" s="15"/>
    </row>
    <row r="139" spans="11:11">
      <c r="K139" s="15"/>
    </row>
    <row r="140" spans="11:11">
      <c r="K140" s="15"/>
    </row>
    <row r="141" spans="11:11">
      <c r="K141" s="15"/>
    </row>
    <row r="142" spans="11:11">
      <c r="K142" s="15"/>
    </row>
    <row r="143" spans="11:11">
      <c r="K143" s="15"/>
    </row>
    <row r="144" spans="11:11">
      <c r="K144" s="15"/>
    </row>
    <row r="145" spans="11:11">
      <c r="K145" s="15"/>
    </row>
    <row r="146" spans="11:11">
      <c r="K146" s="15"/>
    </row>
    <row r="147" spans="11:11">
      <c r="K147" s="15"/>
    </row>
    <row r="148" spans="11:11">
      <c r="K148" s="15"/>
    </row>
    <row r="149" spans="11:11">
      <c r="K149" s="15"/>
    </row>
    <row r="150" spans="11:11">
      <c r="K150" s="15"/>
    </row>
    <row r="151" spans="11:11">
      <c r="K151" s="15"/>
    </row>
    <row r="152" spans="11:11">
      <c r="K152" s="15"/>
    </row>
    <row r="153" spans="11:11">
      <c r="K153" s="15"/>
    </row>
    <row r="154" spans="11:11">
      <c r="K154" s="15"/>
    </row>
    <row r="155" spans="11:11">
      <c r="K155" s="15"/>
    </row>
    <row r="156" spans="11:11">
      <c r="K156" s="15"/>
    </row>
    <row r="157" spans="11:11">
      <c r="K157" s="15"/>
    </row>
    <row r="158" spans="11:11">
      <c r="K158" s="15"/>
    </row>
    <row r="159" spans="11:11">
      <c r="K159" s="15"/>
    </row>
    <row r="160" spans="11:11">
      <c r="K160" s="15"/>
    </row>
    <row r="161" spans="11:11">
      <c r="K161" s="15"/>
    </row>
    <row r="162" spans="11:11">
      <c r="K162" s="15"/>
    </row>
    <row r="163" spans="11:11">
      <c r="K163" s="15"/>
    </row>
    <row r="164" spans="11:11">
      <c r="K164" s="15"/>
    </row>
    <row r="165" spans="11:11">
      <c r="K165" s="15"/>
    </row>
    <row r="166" spans="11:11">
      <c r="K166" s="15"/>
    </row>
    <row r="167" spans="11:11">
      <c r="K167" s="15"/>
    </row>
    <row r="168" spans="11:11">
      <c r="K168" s="15"/>
    </row>
    <row r="169" spans="11:11">
      <c r="K169" s="15"/>
    </row>
    <row r="170" spans="11:11">
      <c r="K170" s="15"/>
    </row>
    <row r="171" spans="11:11">
      <c r="K171" s="15"/>
    </row>
    <row r="172" spans="11:11">
      <c r="K172" s="15"/>
    </row>
    <row r="173" spans="11:11">
      <c r="K173" s="15"/>
    </row>
    <row r="174" spans="11:11">
      <c r="K174" s="15"/>
    </row>
    <row r="175" spans="11:11">
      <c r="K175" s="15"/>
    </row>
    <row r="176" spans="11:11">
      <c r="K176" s="15"/>
    </row>
    <row r="177" spans="11:11">
      <c r="K177" s="15"/>
    </row>
    <row r="178" spans="11:11">
      <c r="K178" s="15"/>
    </row>
    <row r="179" spans="11:11">
      <c r="K179" s="15"/>
    </row>
    <row r="180" spans="11:11">
      <c r="K180" s="15"/>
    </row>
    <row r="181" spans="11:11">
      <c r="K181" s="15"/>
    </row>
    <row r="182" spans="11:11">
      <c r="K182" s="15"/>
    </row>
    <row r="183" spans="11:11">
      <c r="K183" s="15"/>
    </row>
    <row r="184" spans="11:11">
      <c r="K184" s="15"/>
    </row>
    <row r="185" spans="11:11">
      <c r="K185" s="15"/>
    </row>
    <row r="186" spans="11:11">
      <c r="K186" s="15"/>
    </row>
    <row r="187" spans="11:11">
      <c r="K187" s="15"/>
    </row>
    <row r="188" spans="11:11">
      <c r="K188" s="15"/>
    </row>
    <row r="189" spans="11:11">
      <c r="K189" s="15"/>
    </row>
    <row r="190" spans="11:11">
      <c r="K190" s="15"/>
    </row>
    <row r="191" spans="11:11">
      <c r="K191" s="15"/>
    </row>
    <row r="192" spans="11:11">
      <c r="K192" s="15"/>
    </row>
    <row r="193" spans="11:11">
      <c r="K193" s="15"/>
    </row>
    <row r="194" spans="11:11">
      <c r="K194" s="15"/>
    </row>
    <row r="195" spans="11:11">
      <c r="K195" s="15"/>
    </row>
    <row r="196" spans="11:11">
      <c r="K196" s="15"/>
    </row>
    <row r="197" spans="11:11">
      <c r="K197" s="15"/>
    </row>
    <row r="198" spans="11:11">
      <c r="K198" s="15"/>
    </row>
    <row r="199" spans="11:11">
      <c r="K199" s="15"/>
    </row>
    <row r="200" spans="11:11">
      <c r="K200" s="15"/>
    </row>
    <row r="201" spans="11:11">
      <c r="K201" s="15"/>
    </row>
    <row r="202" spans="11:11">
      <c r="K202" s="15"/>
    </row>
  </sheetData>
  <mergeCells count="55">
    <mergeCell ref="AI13:AI15"/>
    <mergeCell ref="AN13:AN15"/>
    <mergeCell ref="I56:I60"/>
    <mergeCell ref="J56:J60"/>
    <mergeCell ref="K56:K60"/>
    <mergeCell ref="AG13:AH13"/>
    <mergeCell ref="D46:D48"/>
    <mergeCell ref="D51:D53"/>
    <mergeCell ref="E51:E53"/>
    <mergeCell ref="H51:H53"/>
    <mergeCell ref="D56:D60"/>
    <mergeCell ref="E56:E60"/>
    <mergeCell ref="D38:D45"/>
    <mergeCell ref="E38:E42"/>
    <mergeCell ref="H38:H40"/>
    <mergeCell ref="H41:H42"/>
    <mergeCell ref="E43:E45"/>
    <mergeCell ref="H43:H45"/>
    <mergeCell ref="H25:H27"/>
    <mergeCell ref="H28:H29"/>
    <mergeCell ref="E30:E34"/>
    <mergeCell ref="H30:H32"/>
    <mergeCell ref="H33:H34"/>
    <mergeCell ref="D35:D36"/>
    <mergeCell ref="AJ13:AK13"/>
    <mergeCell ref="AL13:AM13"/>
    <mergeCell ref="BX13:BX16"/>
    <mergeCell ref="D17:D34"/>
    <mergeCell ref="E19:E20"/>
    <mergeCell ref="H19:H20"/>
    <mergeCell ref="E21:E24"/>
    <mergeCell ref="H21:H22"/>
    <mergeCell ref="H23:H24"/>
    <mergeCell ref="E25:E29"/>
    <mergeCell ref="K13:K14"/>
    <mergeCell ref="S13:T13"/>
    <mergeCell ref="X13:Y13"/>
    <mergeCell ref="Z13:AA13"/>
    <mergeCell ref="AE13:AF13"/>
    <mergeCell ref="D6:E6"/>
    <mergeCell ref="F6:G6"/>
    <mergeCell ref="D7:BT7"/>
    <mergeCell ref="D13:D15"/>
    <mergeCell ref="E13:E15"/>
    <mergeCell ref="F13:F15"/>
    <mergeCell ref="G13:G15"/>
    <mergeCell ref="H13:H15"/>
    <mergeCell ref="I13:I15"/>
    <mergeCell ref="J13:J15"/>
    <mergeCell ref="Q13:R13"/>
    <mergeCell ref="O13:P13"/>
    <mergeCell ref="V13:W13"/>
    <mergeCell ref="AC13:AD13"/>
    <mergeCell ref="U13:U15"/>
    <mergeCell ref="AB13:AB15"/>
  </mergeCells>
  <dataValidations count="4">
    <dataValidation type="decimal" allowBlank="1" showErrorMessage="1" errorTitle="Ошибка" error="Допускается ввод только действительных чисел!" sqref="AL17:AL36 S51:S54 X51:X54 AE51:AE54 AJ51:AJ54 Q38:Q48 V38:V48 AE17:AE36 AJ17:AJ36 Q17:Q36 AC17:AC36 AC38:AC48 AE38:AE48 Q51:Q54 S17:S36 O38:O48 O51:O54 O17:O36 X38:X48 V51:V54 V17:V36 S38:S48 AC51:AC54 X17:X36 AJ38:AJ48">
      <formula1>-9.99999999999999E+23</formula1>
      <formula2>9.99999999999999E+23</formula2>
    </dataValidation>
    <dataValidation type="decimal" allowBlank="1" showInputMessage="1" showErrorMessage="1" error="Ввведеное значение неверно" sqref="BF25:BF59 BL25:BL59 BC25:BC59 BI25:BI59 BO25:BO59 AT25:AT59 AQ25:AQ59 AZ25:AZ59 AW25:AW59 BR25:BR59 L25:L59 K37:K59">
      <formula1>-1000000000000000</formula1>
      <formula2>1000000000000000</formula2>
    </dataValidation>
    <dataValidation type="decimal" allowBlank="1" showInputMessage="1" showErrorMessage="1" errorTitle="Внимание" error="Допускается ввод только действительных чисел!" sqref="BD51:BD54 BG51:BG54 M51:M54 BJ51:BJ54 AL38:AL48 BM51:BM54 Z17:Z36 M38:M48 Z51:Z54 BD19:BD36 BG19:BG36 BJ19:BJ36 BM19:BM36 AG38:AG48 M17:M36 AG51:AG54 AL51:AL54 BG38:BG48 BD38:BD48 BM38:BM48 BJ38:BJ48 AO51:AO54 AO19:AO36 AO38:AO48 AR51:AR54 AU51:AU54 AR19:AR36 AU19:AU36 AU38:AU48 AR38:AR48 AX51:AX54 BA51:BA54 AX19:AX36 BA19:BA36 BA38:BA48 AX38:AX48 BP51:BP54 BS51:BS54 BP19:BP36 BS19:BS36 BS38:BS48 BP38:BP48 AG17:AG36 Z38:Z48">
      <formula1>-9.99999999999999E+23</formula1>
      <formula2>9.99999999999999E+23</formula2>
    </dataValidation>
    <dataValidation allowBlank="1" showInputMessage="1" showErrorMessage="1" errorTitle="Внимание" error="Допускается ввод только действительных чисел!" sqref="BX17:BX60"/>
  </dataValidations>
  <hyperlinks>
    <hyperlink ref="D6" location="'Список листов'!A1" tooltip="Список листов" display="Список листов"/>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92D050"/>
  </sheetPr>
  <dimension ref="A1:AN383"/>
  <sheetViews>
    <sheetView topLeftCell="N4" zoomScale="85" zoomScaleNormal="85" workbookViewId="0">
      <selection activeCell="AH4" sqref="AH1:AJ1048576"/>
    </sheetView>
  </sheetViews>
  <sheetFormatPr defaultColWidth="9.140625" defaultRowHeight="11.25" outlineLevelCol="1"/>
  <cols>
    <col min="1" max="2" width="2.7109375" style="15" hidden="1" customWidth="1"/>
    <col min="3" max="3" width="3.28515625" style="15" customWidth="1"/>
    <col min="4" max="4" width="6.7109375" style="148" customWidth="1"/>
    <col min="5" max="5" width="21.7109375" style="207" customWidth="1"/>
    <col min="6" max="7" width="17.5703125" style="207" hidden="1" customWidth="1"/>
    <col min="8" max="8" width="14.7109375" style="207" customWidth="1"/>
    <col min="9" max="9" width="14.7109375" style="148" customWidth="1"/>
    <col min="10" max="10" width="15.7109375" style="147" customWidth="1"/>
    <col min="11" max="14" width="15.7109375" style="146" customWidth="1"/>
    <col min="15" max="17" width="15.7109375" style="146" hidden="1" customWidth="1" outlineLevel="1"/>
    <col min="18" max="18" width="15.7109375" style="146" customWidth="1" collapsed="1"/>
    <col min="19" max="21" width="15.7109375" style="146" customWidth="1"/>
    <col min="22" max="24" width="15.7109375" style="146" hidden="1" customWidth="1" outlineLevel="1"/>
    <col min="25" max="25" width="15.7109375" style="146" customWidth="1" collapsed="1"/>
    <col min="26" max="28" width="15.7109375" style="146" customWidth="1"/>
    <col min="29" max="31" width="15.7109375" style="146" hidden="1" customWidth="1" outlineLevel="1"/>
    <col min="32" max="32" width="15.7109375" style="146" customWidth="1" collapsed="1"/>
    <col min="33" max="33" width="18.140625" style="146" customWidth="1"/>
    <col min="34" max="35" width="19.140625" style="146" hidden="1" customWidth="1" outlineLevel="1"/>
    <col min="36" max="36" width="15.7109375" style="146" hidden="1" customWidth="1" outlineLevel="1"/>
    <col min="37" max="37" width="2.42578125" style="15" customWidth="1" collapsed="1"/>
    <col min="38" max="38" width="2.7109375" style="15" customWidth="1"/>
    <col min="39" max="39" width="24.5703125" style="15" customWidth="1"/>
    <col min="40" max="16384" width="9.140625" style="15"/>
  </cols>
  <sheetData>
    <row r="1" spans="1:39" ht="18.75" hidden="1" customHeight="1">
      <c r="E1" s="148"/>
      <c r="F1" s="148"/>
      <c r="G1" s="148"/>
      <c r="H1" s="148"/>
      <c r="I1" s="149"/>
      <c r="J1" s="146"/>
      <c r="V1" s="17" t="s">
        <v>217</v>
      </c>
      <c r="W1" s="17" t="s">
        <v>217</v>
      </c>
      <c r="AC1" s="17" t="s">
        <v>217</v>
      </c>
      <c r="AD1" s="17" t="s">
        <v>217</v>
      </c>
      <c r="AH1" s="17" t="s">
        <v>217</v>
      </c>
      <c r="AI1" s="17" t="s">
        <v>217</v>
      </c>
    </row>
    <row r="2" spans="1:39" ht="1.5" hidden="1" customHeight="1">
      <c r="E2" s="148"/>
      <c r="F2" s="148"/>
      <c r="G2" s="148"/>
      <c r="H2" s="148"/>
      <c r="I2" s="149"/>
      <c r="J2" s="146"/>
    </row>
    <row r="3" spans="1:39" ht="9" hidden="1" customHeight="1">
      <c r="E3" s="148"/>
      <c r="F3" s="148"/>
      <c r="G3" s="148"/>
      <c r="H3" s="148"/>
      <c r="I3" s="149"/>
      <c r="J3" s="146"/>
    </row>
    <row r="4" spans="1:39" ht="1.5" customHeight="1">
      <c r="E4" s="148"/>
      <c r="F4" s="148"/>
      <c r="G4" s="148"/>
      <c r="H4" s="148"/>
      <c r="I4" s="149"/>
      <c r="J4" s="146"/>
    </row>
    <row r="5" spans="1:39" ht="1.5" customHeight="1">
      <c r="E5" s="148"/>
      <c r="F5" s="148"/>
      <c r="G5" s="148"/>
      <c r="H5" s="148"/>
      <c r="I5" s="149"/>
      <c r="J5" s="146"/>
    </row>
    <row r="6" spans="1:39" s="22" customFormat="1" ht="20.25" customHeight="1">
      <c r="A6" s="18"/>
      <c r="B6" s="19"/>
      <c r="C6" s="20"/>
      <c r="D6" s="2201" t="s">
        <v>11</v>
      </c>
      <c r="E6" s="2201"/>
      <c r="F6" s="2261"/>
      <c r="G6" s="2261"/>
      <c r="H6" s="21"/>
      <c r="I6" s="21"/>
      <c r="J6" s="21"/>
      <c r="K6" s="1618"/>
      <c r="L6" s="1619"/>
      <c r="M6" s="1618"/>
      <c r="O6" s="21"/>
      <c r="R6" s="1618"/>
      <c r="S6" s="1619"/>
      <c r="T6" s="21"/>
      <c r="Y6" s="1618"/>
      <c r="Z6" s="1619"/>
    </row>
    <row r="7" spans="1:39" s="23" customFormat="1" ht="38.25" customHeight="1">
      <c r="A7" s="24"/>
      <c r="B7" s="19"/>
      <c r="C7" s="25"/>
      <c r="D7" s="2203" t="s">
        <v>173</v>
      </c>
      <c r="E7" s="2203"/>
      <c r="F7" s="2203"/>
      <c r="G7" s="2203"/>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row>
    <row r="8" spans="1:39" s="23" customFormat="1" ht="1.5" customHeight="1">
      <c r="A8" s="24"/>
      <c r="B8" s="19"/>
      <c r="C8" s="25"/>
      <c r="D8" s="26"/>
      <c r="E8" s="26"/>
      <c r="F8" s="26"/>
      <c r="G8" s="26"/>
      <c r="H8" s="27"/>
    </row>
    <row r="9" spans="1:39" s="150" customFormat="1" ht="1.5" customHeight="1">
      <c r="C9" s="30"/>
      <c r="D9" s="31"/>
      <c r="E9" s="31"/>
      <c r="F9" s="31"/>
      <c r="G9" s="31"/>
      <c r="H9" s="31"/>
      <c r="I9" s="31"/>
      <c r="J9" s="32">
        <v>2025</v>
      </c>
      <c r="K9" s="32">
        <v>2026</v>
      </c>
      <c r="L9" s="32">
        <v>2026</v>
      </c>
      <c r="M9" s="32">
        <v>2026</v>
      </c>
      <c r="N9" s="32">
        <v>2026</v>
      </c>
      <c r="O9" s="32">
        <v>2026</v>
      </c>
      <c r="P9" s="32">
        <v>2026</v>
      </c>
      <c r="Q9" s="32"/>
      <c r="R9" s="32">
        <v>2026</v>
      </c>
      <c r="S9" s="32">
        <v>2026</v>
      </c>
      <c r="T9" s="32">
        <v>2026</v>
      </c>
      <c r="U9" s="32">
        <v>2026</v>
      </c>
      <c r="V9" s="32">
        <v>2026</v>
      </c>
      <c r="W9" s="32">
        <v>2026</v>
      </c>
      <c r="X9" s="32"/>
      <c r="Y9" s="32">
        <v>2026</v>
      </c>
      <c r="Z9" s="32">
        <v>2026</v>
      </c>
      <c r="AA9" s="32">
        <v>2026</v>
      </c>
      <c r="AB9" s="32">
        <v>2026</v>
      </c>
      <c r="AC9" s="32">
        <v>2026</v>
      </c>
      <c r="AD9" s="32">
        <v>2026</v>
      </c>
      <c r="AE9" s="32"/>
      <c r="AF9" s="32">
        <v>2028</v>
      </c>
      <c r="AG9" s="32">
        <v>2028</v>
      </c>
      <c r="AH9" s="32">
        <v>2028</v>
      </c>
      <c r="AI9" s="32">
        <v>2028</v>
      </c>
      <c r="AJ9" s="32"/>
      <c r="AK9" s="30"/>
      <c r="AL9" s="30"/>
    </row>
    <row r="10" spans="1:39" s="36" customFormat="1" ht="1.5" customHeight="1">
      <c r="D10" s="35"/>
      <c r="E10" s="35"/>
      <c r="F10" s="35"/>
      <c r="G10" s="35"/>
      <c r="H10" s="35"/>
      <c r="I10" s="35"/>
    </row>
    <row r="11" spans="1:39" s="36" customFormat="1" ht="1.5" customHeight="1">
      <c r="D11" s="35"/>
      <c r="E11" s="35"/>
      <c r="F11" s="35"/>
      <c r="G11" s="35"/>
      <c r="H11" s="35"/>
      <c r="I11" s="35"/>
    </row>
    <row r="12" spans="1:39" ht="1.5" customHeight="1">
      <c r="C12" s="39"/>
      <c r="D12" s="151"/>
      <c r="E12" s="152"/>
      <c r="F12" s="152"/>
      <c r="G12" s="152"/>
      <c r="H12" s="152"/>
      <c r="I12" s="151"/>
      <c r="J12" s="42"/>
      <c r="K12" s="42"/>
      <c r="L12" s="39"/>
      <c r="M12" s="42"/>
      <c r="N12" s="39"/>
      <c r="O12" s="42"/>
      <c r="P12" s="39"/>
      <c r="Q12" s="39"/>
      <c r="R12" s="42"/>
      <c r="S12" s="39"/>
      <c r="T12" s="42"/>
      <c r="U12" s="39"/>
      <c r="V12" s="42"/>
      <c r="W12" s="39"/>
      <c r="X12" s="39"/>
      <c r="Y12" s="42"/>
      <c r="Z12" s="39"/>
      <c r="AA12" s="42"/>
      <c r="AB12" s="39"/>
      <c r="AC12" s="42"/>
      <c r="AD12" s="39"/>
      <c r="AE12" s="39"/>
      <c r="AF12" s="42"/>
      <c r="AG12" s="39"/>
      <c r="AH12" s="42"/>
      <c r="AI12" s="39"/>
      <c r="AJ12" s="39"/>
      <c r="AK12" s="39"/>
      <c r="AL12" s="39"/>
      <c r="AM12" s="45"/>
    </row>
    <row r="13" spans="1:39" s="153" customFormat="1" ht="17.25" customHeight="1">
      <c r="C13" s="154"/>
      <c r="D13" s="2262" t="s">
        <v>12</v>
      </c>
      <c r="E13" s="2262" t="s">
        <v>174</v>
      </c>
      <c r="F13" s="2265"/>
      <c r="G13" s="2265"/>
      <c r="H13" s="2262" t="s">
        <v>175</v>
      </c>
      <c r="I13" s="2268" t="s">
        <v>92</v>
      </c>
      <c r="J13" s="2270" t="s">
        <v>176</v>
      </c>
      <c r="K13" s="2275" t="str">
        <f>"ТБР, "&amp;'0. Анкета'!C15-3&amp;" год"</f>
        <v>ТБР, 2021 год</v>
      </c>
      <c r="L13" s="2276"/>
      <c r="M13" s="2275" t="str">
        <f>"Факт, "&amp;'0. Анкета'!C15-3&amp;" год"</f>
        <v>Факт, 2021 год</v>
      </c>
      <c r="N13" s="2276"/>
      <c r="O13" s="2227" t="str">
        <f>'0. Анкета'!C15-3&amp;",  факт Версия регулятора"</f>
        <v>2021,  факт Версия регулятора</v>
      </c>
      <c r="P13" s="2245"/>
      <c r="Q13" s="2272" t="s">
        <v>1924</v>
      </c>
      <c r="R13" s="2275" t="str">
        <f>"ТБР, "&amp;'0. Анкета'!C15-2&amp;" год"</f>
        <v>ТБР, 2022 год</v>
      </c>
      <c r="S13" s="2276"/>
      <c r="T13" s="2246" t="str">
        <f>'0. Анкета'!C15-2&amp;",  факт"</f>
        <v>2022,  факт</v>
      </c>
      <c r="U13" s="2247"/>
      <c r="V13" s="2227" t="str">
        <f>'0. Анкета'!C15-2&amp;",  факт Версия регулятора"</f>
        <v>2022,  факт Версия регулятора</v>
      </c>
      <c r="W13" s="2245"/>
      <c r="X13" s="2272" t="s">
        <v>1925</v>
      </c>
      <c r="Y13" s="2275" t="str">
        <f>"ТБР, "&amp;'0. Анкета'!C15-1&amp;" год"</f>
        <v>ТБР, 2023 год</v>
      </c>
      <c r="Z13" s="2276"/>
      <c r="AA13" s="2248" t="str">
        <f>'0. Анкета'!C15-1&amp;",  ожидаемый"</f>
        <v>2023,  ожидаемый</v>
      </c>
      <c r="AB13" s="2248"/>
      <c r="AC13" s="2227" t="str">
        <f>'0. Анкета'!C15-1&amp;",  Версия регулятора"</f>
        <v>2023,  Версия регулятора</v>
      </c>
      <c r="AD13" s="2245"/>
      <c r="AE13" s="2272" t="s">
        <v>1926</v>
      </c>
      <c r="AF13" s="2219" t="str">
        <f>'0. Анкета'!C15&amp;",  предложение ТСО"</f>
        <v>2024,  предложение ТСО</v>
      </c>
      <c r="AG13" s="2226"/>
      <c r="AH13" s="2227" t="str">
        <f>'0. Анкета'!C15&amp;",  Версия регулятора"</f>
        <v>2024,  Версия регулятора</v>
      </c>
      <c r="AI13" s="2228"/>
      <c r="AJ13" s="2272" t="s">
        <v>1927</v>
      </c>
      <c r="AK13" s="154"/>
      <c r="AL13" s="156"/>
      <c r="AM13" s="2280" t="s">
        <v>96</v>
      </c>
    </row>
    <row r="14" spans="1:39" s="153" customFormat="1" ht="68.25" customHeight="1">
      <c r="C14" s="154"/>
      <c r="D14" s="2263"/>
      <c r="E14" s="2263"/>
      <c r="F14" s="2266"/>
      <c r="G14" s="2266"/>
      <c r="H14" s="2263"/>
      <c r="I14" s="2269"/>
      <c r="J14" s="2271"/>
      <c r="K14" s="1616" t="s">
        <v>177</v>
      </c>
      <c r="L14" s="1616" t="s">
        <v>98</v>
      </c>
      <c r="M14" s="1616" t="s">
        <v>177</v>
      </c>
      <c r="N14" s="1616" t="s">
        <v>98</v>
      </c>
      <c r="O14" s="157" t="s">
        <v>177</v>
      </c>
      <c r="P14" s="157" t="s">
        <v>98</v>
      </c>
      <c r="Q14" s="2273"/>
      <c r="R14" s="1616" t="s">
        <v>177</v>
      </c>
      <c r="S14" s="1616" t="s">
        <v>98</v>
      </c>
      <c r="T14" s="53" t="s">
        <v>177</v>
      </c>
      <c r="U14" s="53" t="s">
        <v>98</v>
      </c>
      <c r="V14" s="53" t="s">
        <v>177</v>
      </c>
      <c r="W14" s="53" t="s">
        <v>98</v>
      </c>
      <c r="X14" s="2273"/>
      <c r="Y14" s="1616" t="s">
        <v>177</v>
      </c>
      <c r="Z14" s="1616" t="s">
        <v>98</v>
      </c>
      <c r="AA14" s="53" t="s">
        <v>177</v>
      </c>
      <c r="AB14" s="53" t="s">
        <v>98</v>
      </c>
      <c r="AC14" s="53" t="s">
        <v>177</v>
      </c>
      <c r="AD14" s="53" t="s">
        <v>98</v>
      </c>
      <c r="AE14" s="2273"/>
      <c r="AF14" s="53" t="s">
        <v>177</v>
      </c>
      <c r="AG14" s="53" t="s">
        <v>98</v>
      </c>
      <c r="AH14" s="51" t="s">
        <v>177</v>
      </c>
      <c r="AI14" s="51" t="s">
        <v>98</v>
      </c>
      <c r="AJ14" s="2273"/>
      <c r="AK14" s="154"/>
      <c r="AL14" s="156"/>
      <c r="AM14" s="2281"/>
    </row>
    <row r="15" spans="1:39" s="158" customFormat="1" ht="15" customHeight="1">
      <c r="C15" s="159"/>
      <c r="D15" s="2264"/>
      <c r="E15" s="2264"/>
      <c r="F15" s="2267"/>
      <c r="G15" s="2267"/>
      <c r="H15" s="2264"/>
      <c r="I15" s="2264"/>
      <c r="J15" s="51" t="s">
        <v>178</v>
      </c>
      <c r="K15" s="1617" t="s">
        <v>179</v>
      </c>
      <c r="L15" s="1617" t="s">
        <v>101</v>
      </c>
      <c r="M15" s="1617" t="s">
        <v>179</v>
      </c>
      <c r="N15" s="1617" t="s">
        <v>101</v>
      </c>
      <c r="O15" s="51" t="s">
        <v>179</v>
      </c>
      <c r="P15" s="51" t="s">
        <v>101</v>
      </c>
      <c r="Q15" s="2274"/>
      <c r="R15" s="1617" t="s">
        <v>179</v>
      </c>
      <c r="S15" s="1617" t="s">
        <v>101</v>
      </c>
      <c r="T15" s="51" t="s">
        <v>179</v>
      </c>
      <c r="U15" s="51" t="s">
        <v>101</v>
      </c>
      <c r="V15" s="51" t="s">
        <v>179</v>
      </c>
      <c r="W15" s="51" t="s">
        <v>101</v>
      </c>
      <c r="X15" s="2274"/>
      <c r="Y15" s="1617" t="s">
        <v>179</v>
      </c>
      <c r="Z15" s="1617" t="s">
        <v>101</v>
      </c>
      <c r="AA15" s="51" t="s">
        <v>179</v>
      </c>
      <c r="AB15" s="51" t="s">
        <v>101</v>
      </c>
      <c r="AC15" s="51" t="s">
        <v>179</v>
      </c>
      <c r="AD15" s="51" t="s">
        <v>101</v>
      </c>
      <c r="AE15" s="2274"/>
      <c r="AF15" s="51" t="s">
        <v>179</v>
      </c>
      <c r="AG15" s="51" t="s">
        <v>101</v>
      </c>
      <c r="AH15" s="51" t="s">
        <v>179</v>
      </c>
      <c r="AI15" s="51" t="s">
        <v>101</v>
      </c>
      <c r="AJ15" s="2274"/>
      <c r="AK15" s="154"/>
      <c r="AL15" s="156"/>
      <c r="AM15" s="2281"/>
    </row>
    <row r="16" spans="1:39" s="160" customFormat="1" ht="0.75" customHeight="1">
      <c r="C16" s="161"/>
      <c r="D16" s="2283"/>
      <c r="E16" s="2284"/>
      <c r="F16" s="2284"/>
      <c r="G16" s="2284"/>
      <c r="H16" s="2284"/>
      <c r="I16" s="2285"/>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162" t="str">
        <f>AH12 &amp; ".1"</f>
        <v>.1</v>
      </c>
      <c r="AI16" s="162" t="str">
        <f>AH12 &amp; ".2"</f>
        <v>.2</v>
      </c>
      <c r="AJ16" s="59"/>
      <c r="AK16" s="154"/>
      <c r="AL16" s="156"/>
      <c r="AM16" s="2282"/>
    </row>
    <row r="17" spans="3:39" s="160" customFormat="1" ht="11.25" customHeight="1">
      <c r="C17" s="161"/>
      <c r="D17" s="2278" t="s">
        <v>111</v>
      </c>
      <c r="E17" s="2277" t="s">
        <v>180</v>
      </c>
      <c r="F17" s="163"/>
      <c r="G17" s="163"/>
      <c r="H17" s="2277" t="s">
        <v>181</v>
      </c>
      <c r="I17" s="52">
        <v>1150</v>
      </c>
      <c r="J17" s="164">
        <v>0</v>
      </c>
      <c r="K17" s="165">
        <v>0</v>
      </c>
      <c r="L17" s="69">
        <f t="shared" ref="L17:L57" si="0">$J17*K17</f>
        <v>0</v>
      </c>
      <c r="M17" s="165">
        <v>0</v>
      </c>
      <c r="N17" s="69">
        <f t="shared" ref="N17:N57" si="1">$J17*M17</f>
        <v>0</v>
      </c>
      <c r="O17" s="165">
        <v>0</v>
      </c>
      <c r="P17" s="69">
        <f t="shared" ref="P17:P60" si="2">$J17*O17</f>
        <v>0</v>
      </c>
      <c r="Q17" s="1627"/>
      <c r="R17" s="165">
        <v>0</v>
      </c>
      <c r="S17" s="69">
        <f t="shared" ref="S17:S57" si="3">$J17*R17</f>
        <v>0</v>
      </c>
      <c r="T17" s="165">
        <v>0</v>
      </c>
      <c r="U17" s="69">
        <f t="shared" ref="U17:U60" si="4">$J17*T17</f>
        <v>0</v>
      </c>
      <c r="V17" s="165"/>
      <c r="W17" s="69">
        <f t="shared" ref="W17:W60" si="5">$J17*V17</f>
        <v>0</v>
      </c>
      <c r="X17" s="1627"/>
      <c r="Y17" s="165">
        <v>0</v>
      </c>
      <c r="Z17" s="69">
        <f t="shared" ref="Z17:Z57" si="6">$J17*Y17</f>
        <v>0</v>
      </c>
      <c r="AA17" s="165">
        <v>0</v>
      </c>
      <c r="AB17" s="69">
        <f t="shared" ref="AB17:AB60" si="7">$J17*AA17</f>
        <v>0</v>
      </c>
      <c r="AC17" s="165"/>
      <c r="AD17" s="69">
        <f t="shared" ref="AD17:AD60" si="8">$J17*AC17</f>
        <v>0</v>
      </c>
      <c r="AE17" s="1627"/>
      <c r="AF17" s="165">
        <v>0</v>
      </c>
      <c r="AG17" s="69">
        <f t="shared" ref="AG17:AG60" si="9">$J17*AF17</f>
        <v>0</v>
      </c>
      <c r="AH17" s="165"/>
      <c r="AI17" s="69">
        <f t="shared" ref="AI17:AI60" si="10">$J17*AH17</f>
        <v>0</v>
      </c>
      <c r="AJ17" s="1627"/>
      <c r="AK17" s="154"/>
      <c r="AL17" s="155"/>
      <c r="AM17" s="166"/>
    </row>
    <row r="18" spans="3:39" s="160" customFormat="1" ht="11.25" customHeight="1">
      <c r="C18" s="161"/>
      <c r="D18" s="2278"/>
      <c r="E18" s="2277"/>
      <c r="F18" s="163"/>
      <c r="G18" s="163"/>
      <c r="H18" s="2277"/>
      <c r="I18" s="52">
        <v>750</v>
      </c>
      <c r="J18" s="164">
        <v>0</v>
      </c>
      <c r="K18" s="165">
        <v>0</v>
      </c>
      <c r="L18" s="69">
        <f t="shared" si="0"/>
        <v>0</v>
      </c>
      <c r="M18" s="165">
        <v>0</v>
      </c>
      <c r="N18" s="69">
        <f t="shared" si="1"/>
        <v>0</v>
      </c>
      <c r="O18" s="165">
        <v>0</v>
      </c>
      <c r="P18" s="69">
        <f t="shared" si="2"/>
        <v>0</v>
      </c>
      <c r="Q18" s="1627"/>
      <c r="R18" s="165">
        <v>0</v>
      </c>
      <c r="S18" s="69">
        <f t="shared" si="3"/>
        <v>0</v>
      </c>
      <c r="T18" s="165">
        <v>0</v>
      </c>
      <c r="U18" s="69">
        <f t="shared" si="4"/>
        <v>0</v>
      </c>
      <c r="V18" s="165"/>
      <c r="W18" s="69">
        <f t="shared" si="5"/>
        <v>0</v>
      </c>
      <c r="X18" s="1627"/>
      <c r="Y18" s="165">
        <v>0</v>
      </c>
      <c r="Z18" s="69">
        <f t="shared" si="6"/>
        <v>0</v>
      </c>
      <c r="AA18" s="165">
        <v>0</v>
      </c>
      <c r="AB18" s="69">
        <f t="shared" si="7"/>
        <v>0</v>
      </c>
      <c r="AC18" s="165"/>
      <c r="AD18" s="69">
        <f t="shared" si="8"/>
        <v>0</v>
      </c>
      <c r="AE18" s="1627"/>
      <c r="AF18" s="165">
        <v>0</v>
      </c>
      <c r="AG18" s="69">
        <f t="shared" si="9"/>
        <v>0</v>
      </c>
      <c r="AH18" s="165"/>
      <c r="AI18" s="69">
        <f t="shared" si="10"/>
        <v>0</v>
      </c>
      <c r="AJ18" s="1627"/>
      <c r="AK18" s="154"/>
      <c r="AL18" s="155"/>
      <c r="AM18" s="166"/>
    </row>
    <row r="19" spans="3:39">
      <c r="C19" s="39"/>
      <c r="D19" s="2278"/>
      <c r="E19" s="2277"/>
      <c r="F19" s="167" t="s">
        <v>106</v>
      </c>
      <c r="G19" s="168" t="s">
        <v>180</v>
      </c>
      <c r="H19" s="2277"/>
      <c r="I19" s="169" t="s">
        <v>105</v>
      </c>
      <c r="J19" s="164">
        <v>0</v>
      </c>
      <c r="K19" s="165">
        <v>0</v>
      </c>
      <c r="L19" s="69">
        <f t="shared" si="0"/>
        <v>0</v>
      </c>
      <c r="M19" s="165">
        <v>0</v>
      </c>
      <c r="N19" s="69">
        <f t="shared" si="1"/>
        <v>0</v>
      </c>
      <c r="O19" s="165">
        <v>0</v>
      </c>
      <c r="P19" s="69">
        <f t="shared" si="2"/>
        <v>0</v>
      </c>
      <c r="Q19" s="1627"/>
      <c r="R19" s="165">
        <v>0</v>
      </c>
      <c r="S19" s="69">
        <f t="shared" si="3"/>
        <v>0</v>
      </c>
      <c r="T19" s="165">
        <v>0</v>
      </c>
      <c r="U19" s="69">
        <f t="shared" si="4"/>
        <v>0</v>
      </c>
      <c r="V19" s="165"/>
      <c r="W19" s="69">
        <f t="shared" si="5"/>
        <v>0</v>
      </c>
      <c r="X19" s="1627"/>
      <c r="Y19" s="165">
        <v>0</v>
      </c>
      <c r="Z19" s="69">
        <f t="shared" si="6"/>
        <v>0</v>
      </c>
      <c r="AA19" s="165">
        <v>0</v>
      </c>
      <c r="AB19" s="69">
        <f t="shared" si="7"/>
        <v>0</v>
      </c>
      <c r="AC19" s="165"/>
      <c r="AD19" s="69">
        <f t="shared" si="8"/>
        <v>0</v>
      </c>
      <c r="AE19" s="1627"/>
      <c r="AF19" s="165">
        <v>0</v>
      </c>
      <c r="AG19" s="69">
        <f t="shared" si="9"/>
        <v>0</v>
      </c>
      <c r="AH19" s="165"/>
      <c r="AI19" s="69">
        <f t="shared" si="10"/>
        <v>0</v>
      </c>
      <c r="AJ19" s="1627"/>
      <c r="AK19" s="154"/>
      <c r="AL19" s="155"/>
      <c r="AM19" s="166"/>
    </row>
    <row r="20" spans="3:39">
      <c r="C20" s="39"/>
      <c r="D20" s="2278"/>
      <c r="E20" s="2277"/>
      <c r="F20" s="167">
        <v>330</v>
      </c>
      <c r="G20" s="168" t="s">
        <v>180</v>
      </c>
      <c r="H20" s="2277"/>
      <c r="I20" s="169">
        <v>330</v>
      </c>
      <c r="J20" s="164">
        <v>0</v>
      </c>
      <c r="K20" s="165">
        <v>0</v>
      </c>
      <c r="L20" s="69">
        <f t="shared" si="0"/>
        <v>0</v>
      </c>
      <c r="M20" s="165">
        <v>0</v>
      </c>
      <c r="N20" s="69">
        <f t="shared" si="1"/>
        <v>0</v>
      </c>
      <c r="O20" s="165">
        <v>0</v>
      </c>
      <c r="P20" s="69">
        <f t="shared" si="2"/>
        <v>0</v>
      </c>
      <c r="Q20" s="1627"/>
      <c r="R20" s="165">
        <v>0</v>
      </c>
      <c r="S20" s="69">
        <f t="shared" si="3"/>
        <v>0</v>
      </c>
      <c r="T20" s="165">
        <v>0</v>
      </c>
      <c r="U20" s="69">
        <f t="shared" si="4"/>
        <v>0</v>
      </c>
      <c r="V20" s="170"/>
      <c r="W20" s="69">
        <f t="shared" si="5"/>
        <v>0</v>
      </c>
      <c r="X20" s="1627"/>
      <c r="Y20" s="165">
        <v>0</v>
      </c>
      <c r="Z20" s="69">
        <f t="shared" si="6"/>
        <v>0</v>
      </c>
      <c r="AA20" s="165">
        <v>0</v>
      </c>
      <c r="AB20" s="69">
        <f t="shared" si="7"/>
        <v>0</v>
      </c>
      <c r="AC20" s="170"/>
      <c r="AD20" s="69">
        <f t="shared" si="8"/>
        <v>0</v>
      </c>
      <c r="AE20" s="1627"/>
      <c r="AF20" s="165">
        <v>0</v>
      </c>
      <c r="AG20" s="69">
        <f t="shared" si="9"/>
        <v>0</v>
      </c>
      <c r="AH20" s="170"/>
      <c r="AI20" s="69">
        <f t="shared" si="10"/>
        <v>0</v>
      </c>
      <c r="AJ20" s="1627"/>
      <c r="AK20" s="154"/>
      <c r="AL20" s="155"/>
      <c r="AM20" s="166"/>
    </row>
    <row r="21" spans="3:39">
      <c r="C21" s="39"/>
      <c r="D21" s="2278"/>
      <c r="E21" s="2277"/>
      <c r="F21" s="167">
        <v>220</v>
      </c>
      <c r="G21" s="168" t="s">
        <v>180</v>
      </c>
      <c r="H21" s="2277"/>
      <c r="I21" s="169">
        <v>220</v>
      </c>
      <c r="J21" s="164">
        <v>0</v>
      </c>
      <c r="K21" s="165">
        <v>0</v>
      </c>
      <c r="L21" s="69">
        <f t="shared" si="0"/>
        <v>0</v>
      </c>
      <c r="M21" s="165">
        <v>0</v>
      </c>
      <c r="N21" s="69">
        <f t="shared" si="1"/>
        <v>0</v>
      </c>
      <c r="O21" s="165">
        <v>0</v>
      </c>
      <c r="P21" s="69">
        <f t="shared" si="2"/>
        <v>0</v>
      </c>
      <c r="Q21" s="1627"/>
      <c r="R21" s="165">
        <v>0</v>
      </c>
      <c r="S21" s="69">
        <f t="shared" si="3"/>
        <v>0</v>
      </c>
      <c r="T21" s="165">
        <v>0</v>
      </c>
      <c r="U21" s="69">
        <f t="shared" si="4"/>
        <v>0</v>
      </c>
      <c r="V21" s="170"/>
      <c r="W21" s="69">
        <f t="shared" si="5"/>
        <v>0</v>
      </c>
      <c r="X21" s="1627"/>
      <c r="Y21" s="165">
        <v>0</v>
      </c>
      <c r="Z21" s="69">
        <f t="shared" si="6"/>
        <v>0</v>
      </c>
      <c r="AA21" s="165">
        <v>0</v>
      </c>
      <c r="AB21" s="69">
        <f t="shared" si="7"/>
        <v>0</v>
      </c>
      <c r="AC21" s="170"/>
      <c r="AD21" s="69">
        <f t="shared" si="8"/>
        <v>0</v>
      </c>
      <c r="AE21" s="1627"/>
      <c r="AF21" s="165">
        <v>0</v>
      </c>
      <c r="AG21" s="69">
        <f t="shared" si="9"/>
        <v>0</v>
      </c>
      <c r="AH21" s="170"/>
      <c r="AI21" s="69">
        <f t="shared" si="10"/>
        <v>0</v>
      </c>
      <c r="AJ21" s="1627"/>
      <c r="AK21" s="154"/>
      <c r="AL21" s="155"/>
      <c r="AM21" s="166"/>
    </row>
    <row r="22" spans="3:39">
      <c r="C22" s="39"/>
      <c r="D22" s="2278"/>
      <c r="E22" s="2277"/>
      <c r="F22" s="167" t="s">
        <v>123</v>
      </c>
      <c r="G22" s="168" t="s">
        <v>180</v>
      </c>
      <c r="H22" s="2277"/>
      <c r="I22" s="169" t="s">
        <v>122</v>
      </c>
      <c r="J22" s="164">
        <v>0</v>
      </c>
      <c r="K22" s="165">
        <v>0</v>
      </c>
      <c r="L22" s="69">
        <f t="shared" si="0"/>
        <v>0</v>
      </c>
      <c r="M22" s="165">
        <v>0</v>
      </c>
      <c r="N22" s="69">
        <f t="shared" si="1"/>
        <v>0</v>
      </c>
      <c r="O22" s="165">
        <v>0</v>
      </c>
      <c r="P22" s="69">
        <f t="shared" si="2"/>
        <v>0</v>
      </c>
      <c r="Q22" s="1627"/>
      <c r="R22" s="165">
        <v>0</v>
      </c>
      <c r="S22" s="69">
        <f t="shared" si="3"/>
        <v>0</v>
      </c>
      <c r="T22" s="165">
        <v>0</v>
      </c>
      <c r="U22" s="69">
        <f t="shared" si="4"/>
        <v>0</v>
      </c>
      <c r="V22" s="170"/>
      <c r="W22" s="69">
        <f t="shared" si="5"/>
        <v>0</v>
      </c>
      <c r="X22" s="1627"/>
      <c r="Y22" s="165">
        <v>0</v>
      </c>
      <c r="Z22" s="69">
        <f t="shared" si="6"/>
        <v>0</v>
      </c>
      <c r="AA22" s="165">
        <v>0</v>
      </c>
      <c r="AB22" s="69">
        <f t="shared" si="7"/>
        <v>0</v>
      </c>
      <c r="AC22" s="170"/>
      <c r="AD22" s="69">
        <f t="shared" si="8"/>
        <v>0</v>
      </c>
      <c r="AE22" s="1627"/>
      <c r="AF22" s="165">
        <v>0</v>
      </c>
      <c r="AG22" s="69">
        <f t="shared" si="9"/>
        <v>0</v>
      </c>
      <c r="AH22" s="170"/>
      <c r="AI22" s="69">
        <f t="shared" si="10"/>
        <v>0</v>
      </c>
      <c r="AJ22" s="1627"/>
      <c r="AK22" s="154"/>
      <c r="AL22" s="155"/>
      <c r="AM22" s="166"/>
    </row>
    <row r="23" spans="3:39">
      <c r="C23" s="39"/>
      <c r="D23" s="2278"/>
      <c r="E23" s="2277"/>
      <c r="F23" s="167">
        <v>35</v>
      </c>
      <c r="G23" s="168" t="s">
        <v>180</v>
      </c>
      <c r="H23" s="2277"/>
      <c r="I23" s="171">
        <v>35</v>
      </c>
      <c r="J23" s="164">
        <v>0</v>
      </c>
      <c r="K23" s="165">
        <v>0</v>
      </c>
      <c r="L23" s="69">
        <f t="shared" si="0"/>
        <v>0</v>
      </c>
      <c r="M23" s="165">
        <v>0</v>
      </c>
      <c r="N23" s="69">
        <f t="shared" si="1"/>
        <v>0</v>
      </c>
      <c r="O23" s="165">
        <v>0</v>
      </c>
      <c r="P23" s="69">
        <f t="shared" si="2"/>
        <v>0</v>
      </c>
      <c r="Q23" s="1627"/>
      <c r="R23" s="165">
        <v>0</v>
      </c>
      <c r="S23" s="69">
        <f t="shared" si="3"/>
        <v>0</v>
      </c>
      <c r="T23" s="165">
        <v>0</v>
      </c>
      <c r="U23" s="69">
        <f t="shared" si="4"/>
        <v>0</v>
      </c>
      <c r="V23" s="170"/>
      <c r="W23" s="69">
        <f t="shared" si="5"/>
        <v>0</v>
      </c>
      <c r="X23" s="1627"/>
      <c r="Y23" s="165">
        <v>0</v>
      </c>
      <c r="Z23" s="69">
        <f t="shared" si="6"/>
        <v>0</v>
      </c>
      <c r="AA23" s="165">
        <v>0</v>
      </c>
      <c r="AB23" s="69">
        <f t="shared" si="7"/>
        <v>0</v>
      </c>
      <c r="AC23" s="170"/>
      <c r="AD23" s="69">
        <f t="shared" si="8"/>
        <v>0</v>
      </c>
      <c r="AE23" s="1627"/>
      <c r="AF23" s="165">
        <v>0</v>
      </c>
      <c r="AG23" s="69">
        <f t="shared" si="9"/>
        <v>0</v>
      </c>
      <c r="AH23" s="170"/>
      <c r="AI23" s="69">
        <f t="shared" si="10"/>
        <v>0</v>
      </c>
      <c r="AJ23" s="1627"/>
      <c r="AK23" s="154"/>
      <c r="AL23" s="155"/>
      <c r="AM23" s="166"/>
    </row>
    <row r="24" spans="3:39" ht="17.25" customHeight="1">
      <c r="C24" s="39"/>
      <c r="D24" s="2278">
        <v>2</v>
      </c>
      <c r="E24" s="2279" t="s">
        <v>182</v>
      </c>
      <c r="F24" s="167">
        <v>1150</v>
      </c>
      <c r="G24" s="168" t="s">
        <v>182</v>
      </c>
      <c r="H24" s="2277" t="s">
        <v>183</v>
      </c>
      <c r="I24" s="171">
        <v>1150</v>
      </c>
      <c r="J24" s="164">
        <v>0</v>
      </c>
      <c r="K24" s="165">
        <v>0</v>
      </c>
      <c r="L24" s="69">
        <f t="shared" si="0"/>
        <v>0</v>
      </c>
      <c r="M24" s="165">
        <v>0</v>
      </c>
      <c r="N24" s="69">
        <f t="shared" si="1"/>
        <v>0</v>
      </c>
      <c r="O24" s="165">
        <v>0</v>
      </c>
      <c r="P24" s="69">
        <f t="shared" si="2"/>
        <v>0</v>
      </c>
      <c r="Q24" s="1627"/>
      <c r="R24" s="165">
        <v>0</v>
      </c>
      <c r="S24" s="69">
        <f t="shared" si="3"/>
        <v>0</v>
      </c>
      <c r="T24" s="165">
        <v>0</v>
      </c>
      <c r="U24" s="69">
        <f t="shared" si="4"/>
        <v>0</v>
      </c>
      <c r="V24" s="170"/>
      <c r="W24" s="69">
        <f t="shared" si="5"/>
        <v>0</v>
      </c>
      <c r="X24" s="1627"/>
      <c r="Y24" s="165">
        <v>0</v>
      </c>
      <c r="Z24" s="69">
        <f t="shared" si="6"/>
        <v>0</v>
      </c>
      <c r="AA24" s="165">
        <v>0</v>
      </c>
      <c r="AB24" s="69">
        <f t="shared" si="7"/>
        <v>0</v>
      </c>
      <c r="AC24" s="170"/>
      <c r="AD24" s="69">
        <f t="shared" si="8"/>
        <v>0</v>
      </c>
      <c r="AE24" s="1627"/>
      <c r="AF24" s="165">
        <v>0</v>
      </c>
      <c r="AG24" s="69">
        <f t="shared" si="9"/>
        <v>0</v>
      </c>
      <c r="AH24" s="170"/>
      <c r="AI24" s="69">
        <f t="shared" si="10"/>
        <v>0</v>
      </c>
      <c r="AJ24" s="1627"/>
      <c r="AK24" s="39"/>
      <c r="AL24" s="54"/>
      <c r="AM24" s="166"/>
    </row>
    <row r="25" spans="3:39">
      <c r="C25" s="39"/>
      <c r="D25" s="2278"/>
      <c r="E25" s="2279"/>
      <c r="F25" s="167">
        <v>750</v>
      </c>
      <c r="G25" s="168" t="s">
        <v>182</v>
      </c>
      <c r="H25" s="2277"/>
      <c r="I25" s="171">
        <v>750</v>
      </c>
      <c r="J25" s="164">
        <v>0</v>
      </c>
      <c r="K25" s="165">
        <v>0</v>
      </c>
      <c r="L25" s="69">
        <f t="shared" si="0"/>
        <v>0</v>
      </c>
      <c r="M25" s="165">
        <v>0</v>
      </c>
      <c r="N25" s="69">
        <f t="shared" si="1"/>
        <v>0</v>
      </c>
      <c r="O25" s="165">
        <v>0</v>
      </c>
      <c r="P25" s="69">
        <f t="shared" si="2"/>
        <v>0</v>
      </c>
      <c r="Q25" s="1627"/>
      <c r="R25" s="165">
        <v>0</v>
      </c>
      <c r="S25" s="69">
        <f t="shared" si="3"/>
        <v>0</v>
      </c>
      <c r="T25" s="165">
        <v>0</v>
      </c>
      <c r="U25" s="69">
        <f t="shared" si="4"/>
        <v>0</v>
      </c>
      <c r="V25" s="170"/>
      <c r="W25" s="69">
        <f t="shared" si="5"/>
        <v>0</v>
      </c>
      <c r="X25" s="1627"/>
      <c r="Y25" s="165">
        <v>0</v>
      </c>
      <c r="Z25" s="69">
        <f t="shared" si="6"/>
        <v>0</v>
      </c>
      <c r="AA25" s="165">
        <v>0</v>
      </c>
      <c r="AB25" s="69">
        <f t="shared" si="7"/>
        <v>0</v>
      </c>
      <c r="AC25" s="170"/>
      <c r="AD25" s="69">
        <f t="shared" si="8"/>
        <v>0</v>
      </c>
      <c r="AE25" s="1627"/>
      <c r="AF25" s="165">
        <v>0</v>
      </c>
      <c r="AG25" s="69">
        <f>$J25*AF25</f>
        <v>0</v>
      </c>
      <c r="AH25" s="170"/>
      <c r="AI25" s="69">
        <f t="shared" si="10"/>
        <v>0</v>
      </c>
      <c r="AJ25" s="1627"/>
      <c r="AK25" s="39"/>
      <c r="AL25" s="54"/>
      <c r="AM25" s="166"/>
    </row>
    <row r="26" spans="3:39">
      <c r="C26" s="39"/>
      <c r="D26" s="2278"/>
      <c r="E26" s="2279"/>
      <c r="F26" s="167" t="s">
        <v>106</v>
      </c>
      <c r="G26" s="168" t="s">
        <v>182</v>
      </c>
      <c r="H26" s="2277"/>
      <c r="I26" s="171" t="s">
        <v>105</v>
      </c>
      <c r="J26" s="164">
        <v>0</v>
      </c>
      <c r="K26" s="165">
        <v>0</v>
      </c>
      <c r="L26" s="69">
        <f t="shared" si="0"/>
        <v>0</v>
      </c>
      <c r="M26" s="165">
        <v>0</v>
      </c>
      <c r="N26" s="69">
        <f t="shared" si="1"/>
        <v>0</v>
      </c>
      <c r="O26" s="165">
        <v>0</v>
      </c>
      <c r="P26" s="69">
        <f t="shared" si="2"/>
        <v>0</v>
      </c>
      <c r="Q26" s="1627"/>
      <c r="R26" s="165">
        <v>0</v>
      </c>
      <c r="S26" s="69">
        <f t="shared" si="3"/>
        <v>0</v>
      </c>
      <c r="T26" s="165">
        <v>0</v>
      </c>
      <c r="U26" s="69">
        <f t="shared" si="4"/>
        <v>0</v>
      </c>
      <c r="V26" s="170"/>
      <c r="W26" s="69">
        <f t="shared" si="5"/>
        <v>0</v>
      </c>
      <c r="X26" s="1627"/>
      <c r="Y26" s="165">
        <v>0</v>
      </c>
      <c r="Z26" s="69">
        <f t="shared" si="6"/>
        <v>0</v>
      </c>
      <c r="AA26" s="165">
        <v>0</v>
      </c>
      <c r="AB26" s="69">
        <f t="shared" si="7"/>
        <v>0</v>
      </c>
      <c r="AC26" s="170"/>
      <c r="AD26" s="69">
        <f t="shared" si="8"/>
        <v>0</v>
      </c>
      <c r="AE26" s="1627"/>
      <c r="AF26" s="165">
        <v>0</v>
      </c>
      <c r="AG26" s="69">
        <f t="shared" si="9"/>
        <v>0</v>
      </c>
      <c r="AH26" s="170"/>
      <c r="AI26" s="69">
        <f t="shared" si="10"/>
        <v>0</v>
      </c>
      <c r="AJ26" s="1627"/>
      <c r="AK26" s="39"/>
      <c r="AL26" s="54"/>
      <c r="AM26" s="166"/>
    </row>
    <row r="27" spans="3:39">
      <c r="C27" s="39"/>
      <c r="D27" s="2278"/>
      <c r="E27" s="2279"/>
      <c r="F27" s="167">
        <v>330</v>
      </c>
      <c r="G27" s="168" t="s">
        <v>182</v>
      </c>
      <c r="H27" s="2277"/>
      <c r="I27" s="171">
        <v>330</v>
      </c>
      <c r="J27" s="164">
        <v>0</v>
      </c>
      <c r="K27" s="165">
        <v>0</v>
      </c>
      <c r="L27" s="69">
        <f t="shared" si="0"/>
        <v>0</v>
      </c>
      <c r="M27" s="165">
        <v>0</v>
      </c>
      <c r="N27" s="69">
        <f t="shared" si="1"/>
        <v>0</v>
      </c>
      <c r="O27" s="165">
        <v>0</v>
      </c>
      <c r="P27" s="69">
        <f t="shared" si="2"/>
        <v>0</v>
      </c>
      <c r="Q27" s="1627"/>
      <c r="R27" s="165">
        <v>0</v>
      </c>
      <c r="S27" s="69">
        <f t="shared" si="3"/>
        <v>0</v>
      </c>
      <c r="T27" s="165">
        <v>0</v>
      </c>
      <c r="U27" s="69">
        <f t="shared" si="4"/>
        <v>0</v>
      </c>
      <c r="V27" s="170"/>
      <c r="W27" s="69">
        <f t="shared" si="5"/>
        <v>0</v>
      </c>
      <c r="X27" s="1627"/>
      <c r="Y27" s="165">
        <v>0</v>
      </c>
      <c r="Z27" s="69">
        <f t="shared" si="6"/>
        <v>0</v>
      </c>
      <c r="AA27" s="165">
        <v>0</v>
      </c>
      <c r="AB27" s="69">
        <f t="shared" si="7"/>
        <v>0</v>
      </c>
      <c r="AC27" s="170"/>
      <c r="AD27" s="69">
        <f t="shared" si="8"/>
        <v>0</v>
      </c>
      <c r="AE27" s="1627"/>
      <c r="AF27" s="165">
        <v>0</v>
      </c>
      <c r="AG27" s="69">
        <f t="shared" si="9"/>
        <v>0</v>
      </c>
      <c r="AH27" s="170"/>
      <c r="AI27" s="69">
        <f t="shared" si="10"/>
        <v>0</v>
      </c>
      <c r="AJ27" s="1627"/>
      <c r="AK27" s="39"/>
      <c r="AL27" s="54"/>
      <c r="AM27" s="166"/>
    </row>
    <row r="28" spans="3:39">
      <c r="C28" s="39"/>
      <c r="D28" s="2278"/>
      <c r="E28" s="2279"/>
      <c r="F28" s="167">
        <v>220</v>
      </c>
      <c r="G28" s="168" t="s">
        <v>182</v>
      </c>
      <c r="H28" s="2277"/>
      <c r="I28" s="171">
        <v>220</v>
      </c>
      <c r="J28" s="164">
        <v>0</v>
      </c>
      <c r="K28" s="165">
        <v>0</v>
      </c>
      <c r="L28" s="69">
        <f t="shared" si="0"/>
        <v>0</v>
      </c>
      <c r="M28" s="165">
        <v>0</v>
      </c>
      <c r="N28" s="69">
        <f t="shared" si="1"/>
        <v>0</v>
      </c>
      <c r="O28" s="165">
        <v>0</v>
      </c>
      <c r="P28" s="69">
        <f t="shared" si="2"/>
        <v>0</v>
      </c>
      <c r="Q28" s="1627"/>
      <c r="R28" s="165">
        <v>0</v>
      </c>
      <c r="S28" s="69">
        <f t="shared" si="3"/>
        <v>0</v>
      </c>
      <c r="T28" s="165">
        <v>0</v>
      </c>
      <c r="U28" s="69">
        <f t="shared" si="4"/>
        <v>0</v>
      </c>
      <c r="V28" s="170"/>
      <c r="W28" s="69">
        <f t="shared" si="5"/>
        <v>0</v>
      </c>
      <c r="X28" s="1627"/>
      <c r="Y28" s="165">
        <v>0</v>
      </c>
      <c r="Z28" s="69">
        <f t="shared" si="6"/>
        <v>0</v>
      </c>
      <c r="AA28" s="165">
        <v>0</v>
      </c>
      <c r="AB28" s="69">
        <f t="shared" si="7"/>
        <v>0</v>
      </c>
      <c r="AC28" s="170"/>
      <c r="AD28" s="69">
        <f t="shared" si="8"/>
        <v>0</v>
      </c>
      <c r="AE28" s="1627"/>
      <c r="AF28" s="165">
        <v>0</v>
      </c>
      <c r="AG28" s="69">
        <f t="shared" si="9"/>
        <v>0</v>
      </c>
      <c r="AH28" s="170"/>
      <c r="AI28" s="69">
        <f t="shared" si="10"/>
        <v>0</v>
      </c>
      <c r="AJ28" s="1627"/>
      <c r="AK28" s="39"/>
      <c r="AL28" s="54"/>
      <c r="AM28" s="166"/>
    </row>
    <row r="29" spans="3:39">
      <c r="C29" s="39"/>
      <c r="D29" s="2278"/>
      <c r="E29" s="2279"/>
      <c r="F29" s="167" t="s">
        <v>123</v>
      </c>
      <c r="G29" s="168" t="s">
        <v>182</v>
      </c>
      <c r="H29" s="2277"/>
      <c r="I29" s="171" t="s">
        <v>122</v>
      </c>
      <c r="J29" s="164">
        <v>0</v>
      </c>
      <c r="K29" s="165">
        <v>0</v>
      </c>
      <c r="L29" s="69">
        <f t="shared" si="0"/>
        <v>0</v>
      </c>
      <c r="M29" s="165">
        <v>0</v>
      </c>
      <c r="N29" s="69">
        <f t="shared" si="1"/>
        <v>0</v>
      </c>
      <c r="O29" s="165">
        <v>0</v>
      </c>
      <c r="P29" s="69">
        <f t="shared" si="2"/>
        <v>0</v>
      </c>
      <c r="Q29" s="1627"/>
      <c r="R29" s="165">
        <v>0</v>
      </c>
      <c r="S29" s="69">
        <f t="shared" si="3"/>
        <v>0</v>
      </c>
      <c r="T29" s="165">
        <v>0</v>
      </c>
      <c r="U29" s="69">
        <f t="shared" si="4"/>
        <v>0</v>
      </c>
      <c r="V29" s="170"/>
      <c r="W29" s="69">
        <f t="shared" si="5"/>
        <v>0</v>
      </c>
      <c r="X29" s="1627"/>
      <c r="Y29" s="165">
        <v>0</v>
      </c>
      <c r="Z29" s="69">
        <f t="shared" si="6"/>
        <v>0</v>
      </c>
      <c r="AA29" s="165">
        <v>0</v>
      </c>
      <c r="AB29" s="69">
        <f t="shared" si="7"/>
        <v>0</v>
      </c>
      <c r="AC29" s="170"/>
      <c r="AD29" s="69">
        <f t="shared" si="8"/>
        <v>0</v>
      </c>
      <c r="AE29" s="1627"/>
      <c r="AF29" s="165">
        <v>0</v>
      </c>
      <c r="AG29" s="69">
        <f t="shared" si="9"/>
        <v>0</v>
      </c>
      <c r="AH29" s="170"/>
      <c r="AI29" s="69">
        <f t="shared" si="10"/>
        <v>0</v>
      </c>
      <c r="AJ29" s="1627"/>
      <c r="AK29" s="39"/>
      <c r="AL29" s="54"/>
      <c r="AM29" s="166"/>
    </row>
    <row r="30" spans="3:39">
      <c r="C30" s="39"/>
      <c r="D30" s="2278"/>
      <c r="E30" s="2279"/>
      <c r="F30" s="167"/>
      <c r="G30" s="168"/>
      <c r="H30" s="2277"/>
      <c r="I30" s="172">
        <v>35</v>
      </c>
      <c r="J30" s="164">
        <v>0</v>
      </c>
      <c r="K30" s="165">
        <v>0</v>
      </c>
      <c r="L30" s="69">
        <f t="shared" si="0"/>
        <v>0</v>
      </c>
      <c r="M30" s="165">
        <v>0</v>
      </c>
      <c r="N30" s="69">
        <f t="shared" si="1"/>
        <v>0</v>
      </c>
      <c r="O30" s="165">
        <v>0</v>
      </c>
      <c r="P30" s="69">
        <f t="shared" si="2"/>
        <v>0</v>
      </c>
      <c r="Q30" s="1627"/>
      <c r="R30" s="165">
        <v>0</v>
      </c>
      <c r="S30" s="69">
        <f t="shared" si="3"/>
        <v>0</v>
      </c>
      <c r="T30" s="165">
        <v>0</v>
      </c>
      <c r="U30" s="69">
        <f t="shared" si="4"/>
        <v>0</v>
      </c>
      <c r="V30" s="170"/>
      <c r="W30" s="69">
        <f t="shared" si="5"/>
        <v>0</v>
      </c>
      <c r="X30" s="1627"/>
      <c r="Y30" s="165">
        <v>0</v>
      </c>
      <c r="Z30" s="69">
        <f t="shared" si="6"/>
        <v>0</v>
      </c>
      <c r="AA30" s="165">
        <v>0</v>
      </c>
      <c r="AB30" s="69">
        <f t="shared" si="7"/>
        <v>0</v>
      </c>
      <c r="AC30" s="170"/>
      <c r="AD30" s="69">
        <f t="shared" si="8"/>
        <v>0</v>
      </c>
      <c r="AE30" s="1627"/>
      <c r="AF30" s="165">
        <v>0</v>
      </c>
      <c r="AG30" s="69">
        <f t="shared" si="9"/>
        <v>0</v>
      </c>
      <c r="AH30" s="170"/>
      <c r="AI30" s="69">
        <f t="shared" si="10"/>
        <v>0</v>
      </c>
      <c r="AJ30" s="1627"/>
      <c r="AK30" s="39"/>
      <c r="AL30" s="54"/>
      <c r="AM30" s="166"/>
    </row>
    <row r="31" spans="3:39">
      <c r="C31" s="39"/>
      <c r="D31" s="2278"/>
      <c r="E31" s="2279"/>
      <c r="F31" s="167" t="s">
        <v>184</v>
      </c>
      <c r="G31" s="168" t="s">
        <v>182</v>
      </c>
      <c r="H31" s="2277"/>
      <c r="I31" s="171" t="s">
        <v>185</v>
      </c>
      <c r="J31" s="164">
        <v>0</v>
      </c>
      <c r="K31" s="165">
        <v>0</v>
      </c>
      <c r="L31" s="69">
        <f t="shared" si="0"/>
        <v>0</v>
      </c>
      <c r="M31" s="165">
        <v>0</v>
      </c>
      <c r="N31" s="69">
        <f t="shared" si="1"/>
        <v>0</v>
      </c>
      <c r="O31" s="165">
        <v>0</v>
      </c>
      <c r="P31" s="69">
        <f t="shared" si="2"/>
        <v>0</v>
      </c>
      <c r="Q31" s="1627"/>
      <c r="R31" s="165">
        <v>0</v>
      </c>
      <c r="S31" s="69">
        <f t="shared" si="3"/>
        <v>0</v>
      </c>
      <c r="T31" s="165">
        <v>0</v>
      </c>
      <c r="U31" s="69">
        <f t="shared" si="4"/>
        <v>0</v>
      </c>
      <c r="V31" s="170"/>
      <c r="W31" s="69">
        <f t="shared" si="5"/>
        <v>0</v>
      </c>
      <c r="X31" s="1627"/>
      <c r="Y31" s="165">
        <v>0</v>
      </c>
      <c r="Z31" s="69">
        <f t="shared" si="6"/>
        <v>0</v>
      </c>
      <c r="AA31" s="165">
        <v>0</v>
      </c>
      <c r="AB31" s="69">
        <f t="shared" si="7"/>
        <v>0</v>
      </c>
      <c r="AC31" s="170"/>
      <c r="AD31" s="69">
        <f t="shared" si="8"/>
        <v>0</v>
      </c>
      <c r="AE31" s="1627"/>
      <c r="AF31" s="165">
        <v>0</v>
      </c>
      <c r="AG31" s="69">
        <f t="shared" si="9"/>
        <v>0</v>
      </c>
      <c r="AH31" s="170"/>
      <c r="AI31" s="69">
        <f t="shared" si="10"/>
        <v>0</v>
      </c>
      <c r="AJ31" s="1627"/>
      <c r="AK31" s="39"/>
      <c r="AL31" s="54"/>
      <c r="AM31" s="166"/>
    </row>
    <row r="32" spans="3:39">
      <c r="C32" s="39"/>
      <c r="D32" s="2278">
        <v>3</v>
      </c>
      <c r="E32" s="2279" t="s">
        <v>186</v>
      </c>
      <c r="F32" s="167">
        <v>1150</v>
      </c>
      <c r="G32" s="168" t="s">
        <v>186</v>
      </c>
      <c r="H32" s="2277" t="s">
        <v>187</v>
      </c>
      <c r="I32" s="171">
        <v>1150</v>
      </c>
      <c r="J32" s="164">
        <v>0</v>
      </c>
      <c r="K32" s="165">
        <v>0</v>
      </c>
      <c r="L32" s="69">
        <f t="shared" si="0"/>
        <v>0</v>
      </c>
      <c r="M32" s="165">
        <v>0</v>
      </c>
      <c r="N32" s="69">
        <f t="shared" si="1"/>
        <v>0</v>
      </c>
      <c r="O32" s="165">
        <v>0</v>
      </c>
      <c r="P32" s="69">
        <f t="shared" si="2"/>
        <v>0</v>
      </c>
      <c r="Q32" s="1627"/>
      <c r="R32" s="165">
        <v>0</v>
      </c>
      <c r="S32" s="69">
        <f t="shared" si="3"/>
        <v>0</v>
      </c>
      <c r="T32" s="165">
        <v>0</v>
      </c>
      <c r="U32" s="69">
        <f t="shared" si="4"/>
        <v>0</v>
      </c>
      <c r="V32" s="170"/>
      <c r="W32" s="69">
        <f t="shared" si="5"/>
        <v>0</v>
      </c>
      <c r="X32" s="1627"/>
      <c r="Y32" s="165">
        <v>0</v>
      </c>
      <c r="Z32" s="69">
        <f t="shared" si="6"/>
        <v>0</v>
      </c>
      <c r="AA32" s="165">
        <v>0</v>
      </c>
      <c r="AB32" s="69">
        <f t="shared" si="7"/>
        <v>0</v>
      </c>
      <c r="AC32" s="170"/>
      <c r="AD32" s="69">
        <f t="shared" si="8"/>
        <v>0</v>
      </c>
      <c r="AE32" s="1627"/>
      <c r="AF32" s="165">
        <v>0</v>
      </c>
      <c r="AG32" s="69">
        <f t="shared" si="9"/>
        <v>0</v>
      </c>
      <c r="AH32" s="170"/>
      <c r="AI32" s="69">
        <f t="shared" si="10"/>
        <v>0</v>
      </c>
      <c r="AJ32" s="1627"/>
      <c r="AK32" s="39"/>
      <c r="AL32" s="54"/>
      <c r="AM32" s="166"/>
    </row>
    <row r="33" spans="3:39">
      <c r="C33" s="39"/>
      <c r="D33" s="2278"/>
      <c r="E33" s="2279"/>
      <c r="F33" s="167">
        <v>750</v>
      </c>
      <c r="G33" s="168" t="s">
        <v>186</v>
      </c>
      <c r="H33" s="2277"/>
      <c r="I33" s="171">
        <v>750</v>
      </c>
      <c r="J33" s="164">
        <v>0</v>
      </c>
      <c r="K33" s="165">
        <v>0</v>
      </c>
      <c r="L33" s="69">
        <f t="shared" si="0"/>
        <v>0</v>
      </c>
      <c r="M33" s="165">
        <v>0</v>
      </c>
      <c r="N33" s="69">
        <f t="shared" si="1"/>
        <v>0</v>
      </c>
      <c r="O33" s="165">
        <v>0</v>
      </c>
      <c r="P33" s="69">
        <f t="shared" si="2"/>
        <v>0</v>
      </c>
      <c r="Q33" s="1627"/>
      <c r="R33" s="165">
        <v>0</v>
      </c>
      <c r="S33" s="69">
        <f t="shared" si="3"/>
        <v>0</v>
      </c>
      <c r="T33" s="165">
        <v>0</v>
      </c>
      <c r="U33" s="69">
        <f t="shared" si="4"/>
        <v>0</v>
      </c>
      <c r="V33" s="170"/>
      <c r="W33" s="69">
        <f t="shared" si="5"/>
        <v>0</v>
      </c>
      <c r="X33" s="1627"/>
      <c r="Y33" s="165">
        <v>0</v>
      </c>
      <c r="Z33" s="69">
        <f t="shared" si="6"/>
        <v>0</v>
      </c>
      <c r="AA33" s="165">
        <v>0</v>
      </c>
      <c r="AB33" s="69">
        <f t="shared" si="7"/>
        <v>0</v>
      </c>
      <c r="AC33" s="170"/>
      <c r="AD33" s="69">
        <f t="shared" si="8"/>
        <v>0</v>
      </c>
      <c r="AE33" s="1627"/>
      <c r="AF33" s="165">
        <v>0</v>
      </c>
      <c r="AG33" s="69">
        <f t="shared" si="9"/>
        <v>0</v>
      </c>
      <c r="AH33" s="170"/>
      <c r="AI33" s="69">
        <f t="shared" si="10"/>
        <v>0</v>
      </c>
      <c r="AJ33" s="1627"/>
      <c r="AK33" s="39"/>
      <c r="AL33" s="54"/>
      <c r="AM33" s="166"/>
    </row>
    <row r="34" spans="3:39">
      <c r="C34" s="39"/>
      <c r="D34" s="2278"/>
      <c r="E34" s="2279"/>
      <c r="F34" s="167" t="s">
        <v>106</v>
      </c>
      <c r="G34" s="168" t="s">
        <v>186</v>
      </c>
      <c r="H34" s="2277"/>
      <c r="I34" s="171" t="s">
        <v>105</v>
      </c>
      <c r="J34" s="164">
        <v>0</v>
      </c>
      <c r="K34" s="165">
        <v>0</v>
      </c>
      <c r="L34" s="69">
        <f t="shared" si="0"/>
        <v>0</v>
      </c>
      <c r="M34" s="165">
        <v>0</v>
      </c>
      <c r="N34" s="69">
        <f t="shared" si="1"/>
        <v>0</v>
      </c>
      <c r="O34" s="165">
        <v>0</v>
      </c>
      <c r="P34" s="69">
        <f t="shared" si="2"/>
        <v>0</v>
      </c>
      <c r="Q34" s="1627"/>
      <c r="R34" s="165">
        <v>0</v>
      </c>
      <c r="S34" s="69">
        <f t="shared" si="3"/>
        <v>0</v>
      </c>
      <c r="T34" s="165">
        <v>0</v>
      </c>
      <c r="U34" s="69">
        <f t="shared" si="4"/>
        <v>0</v>
      </c>
      <c r="V34" s="170"/>
      <c r="W34" s="69">
        <f t="shared" si="5"/>
        <v>0</v>
      </c>
      <c r="X34" s="1627"/>
      <c r="Y34" s="165">
        <v>0</v>
      </c>
      <c r="Z34" s="69">
        <f t="shared" si="6"/>
        <v>0</v>
      </c>
      <c r="AA34" s="165">
        <v>0</v>
      </c>
      <c r="AB34" s="69">
        <f t="shared" si="7"/>
        <v>0</v>
      </c>
      <c r="AC34" s="170"/>
      <c r="AD34" s="69">
        <f t="shared" si="8"/>
        <v>0</v>
      </c>
      <c r="AE34" s="1627"/>
      <c r="AF34" s="165">
        <v>0</v>
      </c>
      <c r="AG34" s="69">
        <f t="shared" si="9"/>
        <v>0</v>
      </c>
      <c r="AH34" s="170"/>
      <c r="AI34" s="69">
        <f t="shared" si="10"/>
        <v>0</v>
      </c>
      <c r="AJ34" s="1627"/>
      <c r="AK34" s="39"/>
      <c r="AL34" s="54"/>
      <c r="AM34" s="166"/>
    </row>
    <row r="35" spans="3:39" ht="12.75" customHeight="1">
      <c r="C35" s="39"/>
      <c r="D35" s="2278"/>
      <c r="E35" s="2279"/>
      <c r="F35" s="167">
        <v>330</v>
      </c>
      <c r="G35" s="168" t="s">
        <v>186</v>
      </c>
      <c r="H35" s="2277"/>
      <c r="I35" s="171">
        <v>330</v>
      </c>
      <c r="J35" s="164">
        <v>0</v>
      </c>
      <c r="K35" s="165">
        <v>0</v>
      </c>
      <c r="L35" s="69">
        <f t="shared" si="0"/>
        <v>0</v>
      </c>
      <c r="M35" s="165">
        <v>0</v>
      </c>
      <c r="N35" s="69">
        <f t="shared" si="1"/>
        <v>0</v>
      </c>
      <c r="O35" s="165">
        <v>0</v>
      </c>
      <c r="P35" s="69">
        <f t="shared" si="2"/>
        <v>0</v>
      </c>
      <c r="Q35" s="1627"/>
      <c r="R35" s="165">
        <v>0</v>
      </c>
      <c r="S35" s="69">
        <f t="shared" si="3"/>
        <v>0</v>
      </c>
      <c r="T35" s="165">
        <v>0</v>
      </c>
      <c r="U35" s="69">
        <f t="shared" si="4"/>
        <v>0</v>
      </c>
      <c r="V35" s="170"/>
      <c r="W35" s="69">
        <f t="shared" si="5"/>
        <v>0</v>
      </c>
      <c r="X35" s="1627"/>
      <c r="Y35" s="165">
        <v>0</v>
      </c>
      <c r="Z35" s="69">
        <f t="shared" si="6"/>
        <v>0</v>
      </c>
      <c r="AA35" s="165">
        <v>0</v>
      </c>
      <c r="AB35" s="69">
        <f t="shared" si="7"/>
        <v>0</v>
      </c>
      <c r="AC35" s="170"/>
      <c r="AD35" s="69">
        <f t="shared" si="8"/>
        <v>0</v>
      </c>
      <c r="AE35" s="1627"/>
      <c r="AF35" s="165">
        <v>0</v>
      </c>
      <c r="AG35" s="69">
        <f t="shared" si="9"/>
        <v>0</v>
      </c>
      <c r="AH35" s="170"/>
      <c r="AI35" s="69">
        <f t="shared" si="10"/>
        <v>0</v>
      </c>
      <c r="AJ35" s="1627"/>
      <c r="AK35" s="39"/>
      <c r="AL35" s="54"/>
      <c r="AM35" s="166"/>
    </row>
    <row r="36" spans="3:39">
      <c r="C36" s="39"/>
      <c r="D36" s="2278"/>
      <c r="E36" s="2279"/>
      <c r="F36" s="167">
        <v>220</v>
      </c>
      <c r="G36" s="168" t="s">
        <v>186</v>
      </c>
      <c r="H36" s="2277"/>
      <c r="I36" s="171">
        <v>220</v>
      </c>
      <c r="J36" s="164">
        <v>0</v>
      </c>
      <c r="K36" s="165">
        <v>0</v>
      </c>
      <c r="L36" s="69">
        <f t="shared" si="0"/>
        <v>0</v>
      </c>
      <c r="M36" s="165">
        <v>0</v>
      </c>
      <c r="N36" s="69">
        <f t="shared" si="1"/>
        <v>0</v>
      </c>
      <c r="O36" s="165">
        <v>0</v>
      </c>
      <c r="P36" s="69">
        <f t="shared" si="2"/>
        <v>0</v>
      </c>
      <c r="Q36" s="1627"/>
      <c r="R36" s="165">
        <v>0</v>
      </c>
      <c r="S36" s="69">
        <f t="shared" si="3"/>
        <v>0</v>
      </c>
      <c r="T36" s="165">
        <v>0</v>
      </c>
      <c r="U36" s="69">
        <f t="shared" si="4"/>
        <v>0</v>
      </c>
      <c r="V36" s="170"/>
      <c r="W36" s="69">
        <f t="shared" si="5"/>
        <v>0</v>
      </c>
      <c r="X36" s="1627"/>
      <c r="Y36" s="165">
        <v>0</v>
      </c>
      <c r="Z36" s="69">
        <f t="shared" si="6"/>
        <v>0</v>
      </c>
      <c r="AA36" s="165">
        <v>0</v>
      </c>
      <c r="AB36" s="69">
        <f t="shared" si="7"/>
        <v>0</v>
      </c>
      <c r="AC36" s="170"/>
      <c r="AD36" s="69">
        <f t="shared" si="8"/>
        <v>0</v>
      </c>
      <c r="AE36" s="1627"/>
      <c r="AF36" s="165">
        <v>0</v>
      </c>
      <c r="AG36" s="69">
        <f t="shared" si="9"/>
        <v>0</v>
      </c>
      <c r="AH36" s="170"/>
      <c r="AI36" s="69">
        <f t="shared" si="10"/>
        <v>0</v>
      </c>
      <c r="AJ36" s="1627"/>
      <c r="AK36" s="39"/>
      <c r="AL36" s="54"/>
      <c r="AM36" s="166"/>
    </row>
    <row r="37" spans="3:39">
      <c r="C37" s="39"/>
      <c r="D37" s="2278"/>
      <c r="E37" s="2279"/>
      <c r="F37" s="167" t="s">
        <v>123</v>
      </c>
      <c r="G37" s="168" t="s">
        <v>186</v>
      </c>
      <c r="H37" s="2277"/>
      <c r="I37" s="171" t="s">
        <v>122</v>
      </c>
      <c r="J37" s="164">
        <v>0</v>
      </c>
      <c r="K37" s="165">
        <v>0</v>
      </c>
      <c r="L37" s="69">
        <f t="shared" si="0"/>
        <v>0</v>
      </c>
      <c r="M37" s="165">
        <v>0</v>
      </c>
      <c r="N37" s="69">
        <f t="shared" si="1"/>
        <v>0</v>
      </c>
      <c r="O37" s="165">
        <v>0</v>
      </c>
      <c r="P37" s="69">
        <f t="shared" si="2"/>
        <v>0</v>
      </c>
      <c r="Q37" s="1627"/>
      <c r="R37" s="165">
        <v>0</v>
      </c>
      <c r="S37" s="69">
        <f t="shared" si="3"/>
        <v>0</v>
      </c>
      <c r="T37" s="165">
        <v>0</v>
      </c>
      <c r="U37" s="69">
        <f t="shared" si="4"/>
        <v>0</v>
      </c>
      <c r="V37" s="170"/>
      <c r="W37" s="69">
        <f t="shared" si="5"/>
        <v>0</v>
      </c>
      <c r="X37" s="1627"/>
      <c r="Y37" s="165">
        <v>0</v>
      </c>
      <c r="Z37" s="69">
        <f t="shared" si="6"/>
        <v>0</v>
      </c>
      <c r="AA37" s="165">
        <v>0</v>
      </c>
      <c r="AB37" s="69">
        <f t="shared" si="7"/>
        <v>0</v>
      </c>
      <c r="AC37" s="170"/>
      <c r="AD37" s="69">
        <f t="shared" si="8"/>
        <v>0</v>
      </c>
      <c r="AE37" s="1627"/>
      <c r="AF37" s="165">
        <v>0</v>
      </c>
      <c r="AG37" s="69">
        <f t="shared" si="9"/>
        <v>0</v>
      </c>
      <c r="AH37" s="170"/>
      <c r="AI37" s="69">
        <f t="shared" si="10"/>
        <v>0</v>
      </c>
      <c r="AJ37" s="1627"/>
      <c r="AK37" s="39"/>
      <c r="AL37" s="54"/>
      <c r="AM37" s="166"/>
    </row>
    <row r="38" spans="3:39">
      <c r="C38" s="39"/>
      <c r="D38" s="2278"/>
      <c r="E38" s="2279"/>
      <c r="F38" s="167"/>
      <c r="G38" s="168"/>
      <c r="H38" s="2277"/>
      <c r="I38" s="172">
        <v>35</v>
      </c>
      <c r="J38" s="164">
        <v>0</v>
      </c>
      <c r="K38" s="165">
        <v>0</v>
      </c>
      <c r="L38" s="69">
        <f t="shared" si="0"/>
        <v>0</v>
      </c>
      <c r="M38" s="165">
        <v>0</v>
      </c>
      <c r="N38" s="69">
        <f t="shared" si="1"/>
        <v>0</v>
      </c>
      <c r="O38" s="165">
        <v>0</v>
      </c>
      <c r="P38" s="69">
        <f t="shared" si="2"/>
        <v>0</v>
      </c>
      <c r="Q38" s="1627"/>
      <c r="R38" s="165">
        <v>0</v>
      </c>
      <c r="S38" s="69">
        <f t="shared" si="3"/>
        <v>0</v>
      </c>
      <c r="T38" s="165">
        <v>0</v>
      </c>
      <c r="U38" s="69">
        <f t="shared" si="4"/>
        <v>0</v>
      </c>
      <c r="V38" s="170"/>
      <c r="W38" s="69">
        <f t="shared" si="5"/>
        <v>0</v>
      </c>
      <c r="X38" s="1627"/>
      <c r="Y38" s="165">
        <v>0</v>
      </c>
      <c r="Z38" s="69">
        <f t="shared" si="6"/>
        <v>0</v>
      </c>
      <c r="AA38" s="165">
        <v>0</v>
      </c>
      <c r="AB38" s="69">
        <f t="shared" si="7"/>
        <v>0</v>
      </c>
      <c r="AC38" s="170"/>
      <c r="AD38" s="69">
        <f t="shared" si="8"/>
        <v>0</v>
      </c>
      <c r="AE38" s="1627"/>
      <c r="AF38" s="165">
        <v>0</v>
      </c>
      <c r="AG38" s="69">
        <f t="shared" si="9"/>
        <v>0</v>
      </c>
      <c r="AH38" s="170"/>
      <c r="AI38" s="69">
        <f t="shared" si="10"/>
        <v>0</v>
      </c>
      <c r="AJ38" s="1627"/>
      <c r="AK38" s="39"/>
      <c r="AL38" s="54"/>
      <c r="AM38" s="166"/>
    </row>
    <row r="39" spans="3:39">
      <c r="C39" s="39"/>
      <c r="D39" s="2278"/>
      <c r="E39" s="2279"/>
      <c r="F39" s="167" t="s">
        <v>184</v>
      </c>
      <c r="G39" s="168" t="s">
        <v>186</v>
      </c>
      <c r="H39" s="2277"/>
      <c r="I39" s="171" t="s">
        <v>185</v>
      </c>
      <c r="J39" s="164">
        <v>0</v>
      </c>
      <c r="K39" s="165">
        <v>0</v>
      </c>
      <c r="L39" s="69">
        <f t="shared" si="0"/>
        <v>0</v>
      </c>
      <c r="M39" s="165">
        <v>0</v>
      </c>
      <c r="N39" s="69">
        <f t="shared" si="1"/>
        <v>0</v>
      </c>
      <c r="O39" s="165">
        <v>0</v>
      </c>
      <c r="P39" s="69">
        <f t="shared" si="2"/>
        <v>0</v>
      </c>
      <c r="Q39" s="1627"/>
      <c r="R39" s="165">
        <v>0</v>
      </c>
      <c r="S39" s="69">
        <f t="shared" si="3"/>
        <v>0</v>
      </c>
      <c r="T39" s="165">
        <v>0</v>
      </c>
      <c r="U39" s="69">
        <f t="shared" si="4"/>
        <v>0</v>
      </c>
      <c r="V39" s="170"/>
      <c r="W39" s="69">
        <f t="shared" si="5"/>
        <v>0</v>
      </c>
      <c r="X39" s="1627"/>
      <c r="Y39" s="165">
        <v>0</v>
      </c>
      <c r="Z39" s="69">
        <f t="shared" si="6"/>
        <v>0</v>
      </c>
      <c r="AA39" s="165">
        <v>0</v>
      </c>
      <c r="AB39" s="69">
        <f t="shared" si="7"/>
        <v>0</v>
      </c>
      <c r="AC39" s="170"/>
      <c r="AD39" s="69">
        <f t="shared" si="8"/>
        <v>0</v>
      </c>
      <c r="AE39" s="1627"/>
      <c r="AF39" s="165">
        <v>0</v>
      </c>
      <c r="AG39" s="69">
        <f t="shared" si="9"/>
        <v>0</v>
      </c>
      <c r="AH39" s="170"/>
      <c r="AI39" s="69">
        <f t="shared" si="10"/>
        <v>0</v>
      </c>
      <c r="AJ39" s="1627"/>
      <c r="AK39" s="39"/>
      <c r="AL39" s="54"/>
      <c r="AM39" s="166"/>
    </row>
    <row r="40" spans="3:39">
      <c r="C40" s="39"/>
      <c r="D40" s="2278">
        <v>4</v>
      </c>
      <c r="E40" s="2279" t="s">
        <v>188</v>
      </c>
      <c r="F40" s="167">
        <v>220</v>
      </c>
      <c r="G40" s="168" t="s">
        <v>188</v>
      </c>
      <c r="H40" s="2277" t="s">
        <v>187</v>
      </c>
      <c r="I40" s="171">
        <v>220</v>
      </c>
      <c r="J40" s="164">
        <v>0</v>
      </c>
      <c r="K40" s="165">
        <v>0</v>
      </c>
      <c r="L40" s="69">
        <f t="shared" si="0"/>
        <v>0</v>
      </c>
      <c r="M40" s="165">
        <v>0</v>
      </c>
      <c r="N40" s="69">
        <f t="shared" si="1"/>
        <v>0</v>
      </c>
      <c r="O40" s="165">
        <v>0</v>
      </c>
      <c r="P40" s="69">
        <f t="shared" si="2"/>
        <v>0</v>
      </c>
      <c r="Q40" s="1627"/>
      <c r="R40" s="165">
        <v>0</v>
      </c>
      <c r="S40" s="69">
        <f t="shared" si="3"/>
        <v>0</v>
      </c>
      <c r="T40" s="165">
        <v>0</v>
      </c>
      <c r="U40" s="69">
        <f t="shared" si="4"/>
        <v>0</v>
      </c>
      <c r="V40" s="170"/>
      <c r="W40" s="69">
        <f t="shared" si="5"/>
        <v>0</v>
      </c>
      <c r="X40" s="1627"/>
      <c r="Y40" s="165">
        <v>0</v>
      </c>
      <c r="Z40" s="69">
        <f t="shared" si="6"/>
        <v>0</v>
      </c>
      <c r="AA40" s="165">
        <v>0</v>
      </c>
      <c r="AB40" s="69">
        <f t="shared" si="7"/>
        <v>0</v>
      </c>
      <c r="AC40" s="170"/>
      <c r="AD40" s="69">
        <f t="shared" si="8"/>
        <v>0</v>
      </c>
      <c r="AE40" s="1627"/>
      <c r="AF40" s="165">
        <v>0</v>
      </c>
      <c r="AG40" s="69">
        <f t="shared" si="9"/>
        <v>0</v>
      </c>
      <c r="AH40" s="170"/>
      <c r="AI40" s="69">
        <f t="shared" si="10"/>
        <v>0</v>
      </c>
      <c r="AJ40" s="1627"/>
      <c r="AK40" s="39"/>
      <c r="AL40" s="54"/>
      <c r="AM40" s="166"/>
    </row>
    <row r="41" spans="3:39">
      <c r="C41" s="39"/>
      <c r="D41" s="2278"/>
      <c r="E41" s="2279"/>
      <c r="F41" s="167" t="s">
        <v>123</v>
      </c>
      <c r="G41" s="168" t="s">
        <v>188</v>
      </c>
      <c r="H41" s="2277"/>
      <c r="I41" s="171" t="s">
        <v>122</v>
      </c>
      <c r="J41" s="164">
        <v>0</v>
      </c>
      <c r="K41" s="165">
        <v>0</v>
      </c>
      <c r="L41" s="69">
        <f t="shared" si="0"/>
        <v>0</v>
      </c>
      <c r="M41" s="165">
        <v>0</v>
      </c>
      <c r="N41" s="69">
        <f t="shared" si="1"/>
        <v>0</v>
      </c>
      <c r="O41" s="165">
        <v>0</v>
      </c>
      <c r="P41" s="69">
        <f t="shared" si="2"/>
        <v>0</v>
      </c>
      <c r="Q41" s="1627"/>
      <c r="R41" s="165">
        <v>0</v>
      </c>
      <c r="S41" s="69">
        <f t="shared" si="3"/>
        <v>0</v>
      </c>
      <c r="T41" s="165">
        <v>0</v>
      </c>
      <c r="U41" s="69">
        <f t="shared" si="4"/>
        <v>0</v>
      </c>
      <c r="V41" s="170"/>
      <c r="W41" s="69">
        <f t="shared" si="5"/>
        <v>0</v>
      </c>
      <c r="X41" s="1627"/>
      <c r="Y41" s="165">
        <v>0</v>
      </c>
      <c r="Z41" s="69">
        <f t="shared" si="6"/>
        <v>0</v>
      </c>
      <c r="AA41" s="165">
        <v>0</v>
      </c>
      <c r="AB41" s="69">
        <f t="shared" si="7"/>
        <v>0</v>
      </c>
      <c r="AC41" s="170"/>
      <c r="AD41" s="69">
        <f t="shared" si="8"/>
        <v>0</v>
      </c>
      <c r="AE41" s="1627"/>
      <c r="AF41" s="165">
        <v>0</v>
      </c>
      <c r="AG41" s="69">
        <f t="shared" si="9"/>
        <v>0</v>
      </c>
      <c r="AH41" s="170"/>
      <c r="AI41" s="69">
        <f t="shared" si="10"/>
        <v>0</v>
      </c>
      <c r="AJ41" s="1627"/>
      <c r="AK41" s="39"/>
      <c r="AL41" s="54"/>
      <c r="AM41" s="166"/>
    </row>
    <row r="42" spans="3:39">
      <c r="C42" s="39"/>
      <c r="D42" s="2278"/>
      <c r="E42" s="2279"/>
      <c r="F42" s="167"/>
      <c r="G42" s="168"/>
      <c r="H42" s="2277"/>
      <c r="I42" s="172">
        <v>35</v>
      </c>
      <c r="J42" s="164">
        <v>0</v>
      </c>
      <c r="K42" s="165">
        <v>0</v>
      </c>
      <c r="L42" s="69">
        <f t="shared" si="0"/>
        <v>0</v>
      </c>
      <c r="M42" s="165">
        <v>0</v>
      </c>
      <c r="N42" s="69">
        <f t="shared" si="1"/>
        <v>0</v>
      </c>
      <c r="O42" s="165">
        <v>0</v>
      </c>
      <c r="P42" s="69">
        <f t="shared" si="2"/>
        <v>0</v>
      </c>
      <c r="Q42" s="1627"/>
      <c r="R42" s="165">
        <v>0</v>
      </c>
      <c r="S42" s="69">
        <f t="shared" si="3"/>
        <v>0</v>
      </c>
      <c r="T42" s="165">
        <v>0</v>
      </c>
      <c r="U42" s="69">
        <f t="shared" si="4"/>
        <v>0</v>
      </c>
      <c r="V42" s="170"/>
      <c r="W42" s="69">
        <f t="shared" si="5"/>
        <v>0</v>
      </c>
      <c r="X42" s="1627"/>
      <c r="Y42" s="165">
        <v>0</v>
      </c>
      <c r="Z42" s="69">
        <f t="shared" si="6"/>
        <v>0</v>
      </c>
      <c r="AA42" s="165">
        <v>0</v>
      </c>
      <c r="AB42" s="69">
        <f t="shared" si="7"/>
        <v>0</v>
      </c>
      <c r="AC42" s="170"/>
      <c r="AD42" s="69">
        <f t="shared" si="8"/>
        <v>0</v>
      </c>
      <c r="AE42" s="1627"/>
      <c r="AF42" s="165">
        <v>0</v>
      </c>
      <c r="AG42" s="69">
        <f t="shared" si="9"/>
        <v>0</v>
      </c>
      <c r="AH42" s="170"/>
      <c r="AI42" s="69">
        <f t="shared" si="10"/>
        <v>0</v>
      </c>
      <c r="AJ42" s="1627"/>
      <c r="AK42" s="39"/>
      <c r="AL42" s="54"/>
      <c r="AM42" s="166"/>
    </row>
    <row r="43" spans="3:39">
      <c r="C43" s="39"/>
      <c r="D43" s="2278"/>
      <c r="E43" s="2279"/>
      <c r="F43" s="167" t="s">
        <v>184</v>
      </c>
      <c r="G43" s="168" t="s">
        <v>188</v>
      </c>
      <c r="H43" s="2277"/>
      <c r="I43" s="171" t="s">
        <v>185</v>
      </c>
      <c r="J43" s="164">
        <v>0</v>
      </c>
      <c r="K43" s="165">
        <v>0</v>
      </c>
      <c r="L43" s="69">
        <f t="shared" si="0"/>
        <v>0</v>
      </c>
      <c r="M43" s="165">
        <v>0</v>
      </c>
      <c r="N43" s="69">
        <f t="shared" si="1"/>
        <v>0</v>
      </c>
      <c r="O43" s="165">
        <v>0</v>
      </c>
      <c r="P43" s="69">
        <f t="shared" si="2"/>
        <v>0</v>
      </c>
      <c r="Q43" s="1627"/>
      <c r="R43" s="165">
        <v>0</v>
      </c>
      <c r="S43" s="69">
        <f t="shared" si="3"/>
        <v>0</v>
      </c>
      <c r="T43" s="165">
        <v>0</v>
      </c>
      <c r="U43" s="69">
        <f t="shared" si="4"/>
        <v>0</v>
      </c>
      <c r="V43" s="170"/>
      <c r="W43" s="69">
        <f t="shared" si="5"/>
        <v>0</v>
      </c>
      <c r="X43" s="1627"/>
      <c r="Y43" s="165">
        <v>0</v>
      </c>
      <c r="Z43" s="69">
        <f t="shared" si="6"/>
        <v>0</v>
      </c>
      <c r="AA43" s="165">
        <v>0</v>
      </c>
      <c r="AB43" s="69">
        <f t="shared" si="7"/>
        <v>0</v>
      </c>
      <c r="AC43" s="170"/>
      <c r="AD43" s="69">
        <f t="shared" si="8"/>
        <v>0</v>
      </c>
      <c r="AE43" s="1627"/>
      <c r="AF43" s="165">
        <v>0</v>
      </c>
      <c r="AG43" s="69">
        <f t="shared" si="9"/>
        <v>0</v>
      </c>
      <c r="AH43" s="170"/>
      <c r="AI43" s="69">
        <f t="shared" si="10"/>
        <v>0</v>
      </c>
      <c r="AJ43" s="1627"/>
      <c r="AK43" s="39"/>
      <c r="AL43" s="54"/>
      <c r="AM43" s="166"/>
    </row>
    <row r="44" spans="3:39">
      <c r="C44" s="39"/>
      <c r="D44" s="2278">
        <v>5</v>
      </c>
      <c r="E44" s="2290" t="s">
        <v>189</v>
      </c>
      <c r="F44" s="167" t="s">
        <v>106</v>
      </c>
      <c r="G44" s="168" t="s">
        <v>189</v>
      </c>
      <c r="H44" s="2277" t="s">
        <v>183</v>
      </c>
      <c r="I44" s="171" t="s">
        <v>105</v>
      </c>
      <c r="J44" s="164">
        <v>0</v>
      </c>
      <c r="K44" s="165">
        <v>0</v>
      </c>
      <c r="L44" s="69">
        <f t="shared" si="0"/>
        <v>0</v>
      </c>
      <c r="M44" s="165">
        <v>0</v>
      </c>
      <c r="N44" s="69">
        <f t="shared" si="1"/>
        <v>0</v>
      </c>
      <c r="O44" s="165">
        <v>0</v>
      </c>
      <c r="P44" s="69">
        <f t="shared" si="2"/>
        <v>0</v>
      </c>
      <c r="Q44" s="1627"/>
      <c r="R44" s="165">
        <v>0</v>
      </c>
      <c r="S44" s="69">
        <f t="shared" si="3"/>
        <v>0</v>
      </c>
      <c r="T44" s="165">
        <v>0</v>
      </c>
      <c r="U44" s="69">
        <f t="shared" si="4"/>
        <v>0</v>
      </c>
      <c r="V44" s="170"/>
      <c r="W44" s="69">
        <f t="shared" si="5"/>
        <v>0</v>
      </c>
      <c r="X44" s="1627"/>
      <c r="Y44" s="165">
        <v>0</v>
      </c>
      <c r="Z44" s="69">
        <f t="shared" si="6"/>
        <v>0</v>
      </c>
      <c r="AA44" s="165">
        <v>0</v>
      </c>
      <c r="AB44" s="69">
        <f t="shared" si="7"/>
        <v>0</v>
      </c>
      <c r="AC44" s="170"/>
      <c r="AD44" s="69">
        <f t="shared" si="8"/>
        <v>0</v>
      </c>
      <c r="AE44" s="1627"/>
      <c r="AF44" s="165">
        <v>0</v>
      </c>
      <c r="AG44" s="69">
        <f t="shared" si="9"/>
        <v>0</v>
      </c>
      <c r="AH44" s="170"/>
      <c r="AI44" s="69">
        <f t="shared" si="10"/>
        <v>0</v>
      </c>
      <c r="AJ44" s="1627"/>
      <c r="AK44" s="39"/>
      <c r="AL44" s="54"/>
      <c r="AM44" s="166"/>
    </row>
    <row r="45" spans="3:39">
      <c r="C45" s="39"/>
      <c r="D45" s="2278"/>
      <c r="E45" s="2290"/>
      <c r="F45" s="167">
        <v>330</v>
      </c>
      <c r="G45" s="168" t="s">
        <v>189</v>
      </c>
      <c r="H45" s="2277"/>
      <c r="I45" s="171">
        <v>330</v>
      </c>
      <c r="J45" s="164">
        <v>0</v>
      </c>
      <c r="K45" s="165">
        <v>0</v>
      </c>
      <c r="L45" s="69">
        <f t="shared" si="0"/>
        <v>0</v>
      </c>
      <c r="M45" s="165">
        <v>0</v>
      </c>
      <c r="N45" s="69">
        <f t="shared" si="1"/>
        <v>0</v>
      </c>
      <c r="O45" s="165">
        <v>0</v>
      </c>
      <c r="P45" s="69">
        <f t="shared" si="2"/>
        <v>0</v>
      </c>
      <c r="Q45" s="1627"/>
      <c r="R45" s="165">
        <v>0</v>
      </c>
      <c r="S45" s="69">
        <f t="shared" si="3"/>
        <v>0</v>
      </c>
      <c r="T45" s="165">
        <v>0</v>
      </c>
      <c r="U45" s="69">
        <f t="shared" si="4"/>
        <v>0</v>
      </c>
      <c r="V45" s="170"/>
      <c r="W45" s="69">
        <f t="shared" si="5"/>
        <v>0</v>
      </c>
      <c r="X45" s="1627"/>
      <c r="Y45" s="165">
        <v>0</v>
      </c>
      <c r="Z45" s="69">
        <f t="shared" si="6"/>
        <v>0</v>
      </c>
      <c r="AA45" s="165">
        <v>0</v>
      </c>
      <c r="AB45" s="69">
        <f t="shared" si="7"/>
        <v>0</v>
      </c>
      <c r="AC45" s="170"/>
      <c r="AD45" s="69">
        <f t="shared" si="8"/>
        <v>0</v>
      </c>
      <c r="AE45" s="1627"/>
      <c r="AF45" s="165">
        <v>0</v>
      </c>
      <c r="AG45" s="69">
        <f t="shared" si="9"/>
        <v>0</v>
      </c>
      <c r="AH45" s="170"/>
      <c r="AI45" s="69">
        <f t="shared" si="10"/>
        <v>0</v>
      </c>
      <c r="AJ45" s="1627"/>
      <c r="AK45" s="39"/>
      <c r="AL45" s="54"/>
      <c r="AM45" s="166"/>
    </row>
    <row r="46" spans="3:39" ht="12.75" customHeight="1">
      <c r="C46" s="39"/>
      <c r="D46" s="2278"/>
      <c r="E46" s="2290"/>
      <c r="F46" s="167">
        <v>220</v>
      </c>
      <c r="G46" s="168" t="s">
        <v>189</v>
      </c>
      <c r="H46" s="2277"/>
      <c r="I46" s="171">
        <v>220</v>
      </c>
      <c r="J46" s="164">
        <v>0</v>
      </c>
      <c r="K46" s="165">
        <v>0</v>
      </c>
      <c r="L46" s="69">
        <f t="shared" si="0"/>
        <v>0</v>
      </c>
      <c r="M46" s="165">
        <v>0</v>
      </c>
      <c r="N46" s="69">
        <f t="shared" si="1"/>
        <v>0</v>
      </c>
      <c r="O46" s="165">
        <v>0</v>
      </c>
      <c r="P46" s="69">
        <f t="shared" si="2"/>
        <v>0</v>
      </c>
      <c r="Q46" s="1627"/>
      <c r="R46" s="165">
        <v>0</v>
      </c>
      <c r="S46" s="69">
        <f t="shared" si="3"/>
        <v>0</v>
      </c>
      <c r="T46" s="165">
        <v>0</v>
      </c>
      <c r="U46" s="69">
        <f t="shared" si="4"/>
        <v>0</v>
      </c>
      <c r="V46" s="170"/>
      <c r="W46" s="69">
        <f t="shared" si="5"/>
        <v>0</v>
      </c>
      <c r="X46" s="1627"/>
      <c r="Y46" s="165">
        <v>0</v>
      </c>
      <c r="Z46" s="69">
        <f t="shared" si="6"/>
        <v>0</v>
      </c>
      <c r="AA46" s="165">
        <v>0</v>
      </c>
      <c r="AB46" s="69">
        <f t="shared" si="7"/>
        <v>0</v>
      </c>
      <c r="AC46" s="170"/>
      <c r="AD46" s="69">
        <f t="shared" si="8"/>
        <v>0</v>
      </c>
      <c r="AE46" s="1627"/>
      <c r="AF46" s="165">
        <v>0</v>
      </c>
      <c r="AG46" s="69">
        <f t="shared" si="9"/>
        <v>0</v>
      </c>
      <c r="AH46" s="170"/>
      <c r="AI46" s="69">
        <f t="shared" si="10"/>
        <v>0</v>
      </c>
      <c r="AJ46" s="1627"/>
      <c r="AK46" s="39"/>
      <c r="AL46" s="54"/>
      <c r="AM46" s="166"/>
    </row>
    <row r="47" spans="3:39">
      <c r="C47" s="39"/>
      <c r="D47" s="2278"/>
      <c r="E47" s="2290"/>
      <c r="F47" s="167" t="s">
        <v>123</v>
      </c>
      <c r="G47" s="168" t="s">
        <v>189</v>
      </c>
      <c r="H47" s="2277"/>
      <c r="I47" s="171" t="s">
        <v>122</v>
      </c>
      <c r="J47" s="164">
        <v>0</v>
      </c>
      <c r="K47" s="165">
        <v>0</v>
      </c>
      <c r="L47" s="69">
        <f t="shared" si="0"/>
        <v>0</v>
      </c>
      <c r="M47" s="165">
        <v>0</v>
      </c>
      <c r="N47" s="69">
        <f t="shared" si="1"/>
        <v>0</v>
      </c>
      <c r="O47" s="165">
        <v>0</v>
      </c>
      <c r="P47" s="69">
        <f t="shared" si="2"/>
        <v>0</v>
      </c>
      <c r="Q47" s="1627"/>
      <c r="R47" s="165">
        <v>0</v>
      </c>
      <c r="S47" s="69">
        <f t="shared" si="3"/>
        <v>0</v>
      </c>
      <c r="T47" s="165">
        <v>0</v>
      </c>
      <c r="U47" s="69">
        <f t="shared" si="4"/>
        <v>0</v>
      </c>
      <c r="V47" s="170"/>
      <c r="W47" s="69">
        <f t="shared" si="5"/>
        <v>0</v>
      </c>
      <c r="X47" s="1627"/>
      <c r="Y47" s="165">
        <v>0</v>
      </c>
      <c r="Z47" s="69">
        <f t="shared" si="6"/>
        <v>0</v>
      </c>
      <c r="AA47" s="165">
        <v>0</v>
      </c>
      <c r="AB47" s="69">
        <f t="shared" si="7"/>
        <v>0</v>
      </c>
      <c r="AC47" s="170"/>
      <c r="AD47" s="69">
        <f t="shared" si="8"/>
        <v>0</v>
      </c>
      <c r="AE47" s="1627"/>
      <c r="AF47" s="165">
        <v>6</v>
      </c>
      <c r="AG47" s="69">
        <f t="shared" si="9"/>
        <v>0</v>
      </c>
      <c r="AH47" s="170"/>
      <c r="AI47" s="69">
        <f t="shared" si="10"/>
        <v>0</v>
      </c>
      <c r="AJ47" s="1627"/>
      <c r="AK47" s="39"/>
      <c r="AL47" s="54"/>
      <c r="AM47" s="166"/>
    </row>
    <row r="48" spans="3:39">
      <c r="C48" s="39"/>
      <c r="D48" s="2278"/>
      <c r="E48" s="2290"/>
      <c r="F48" s="167">
        <v>35</v>
      </c>
      <c r="G48" s="168" t="s">
        <v>189</v>
      </c>
      <c r="H48" s="2277"/>
      <c r="I48" s="171">
        <v>35</v>
      </c>
      <c r="J48" s="164">
        <v>0</v>
      </c>
      <c r="K48" s="165">
        <v>0</v>
      </c>
      <c r="L48" s="69">
        <f t="shared" si="0"/>
        <v>0</v>
      </c>
      <c r="M48" s="165">
        <v>0</v>
      </c>
      <c r="N48" s="69">
        <f t="shared" si="1"/>
        <v>0</v>
      </c>
      <c r="O48" s="165">
        <v>0</v>
      </c>
      <c r="P48" s="69">
        <f t="shared" si="2"/>
        <v>0</v>
      </c>
      <c r="Q48" s="1627"/>
      <c r="R48" s="165">
        <v>0</v>
      </c>
      <c r="S48" s="69">
        <f t="shared" si="3"/>
        <v>0</v>
      </c>
      <c r="T48" s="165">
        <v>0</v>
      </c>
      <c r="U48" s="69">
        <f t="shared" si="4"/>
        <v>0</v>
      </c>
      <c r="V48" s="170"/>
      <c r="W48" s="69">
        <f t="shared" si="5"/>
        <v>0</v>
      </c>
      <c r="X48" s="1627"/>
      <c r="Y48" s="165">
        <v>0</v>
      </c>
      <c r="Z48" s="69">
        <f t="shared" si="6"/>
        <v>0</v>
      </c>
      <c r="AA48" s="165">
        <v>0</v>
      </c>
      <c r="AB48" s="69">
        <f t="shared" si="7"/>
        <v>0</v>
      </c>
      <c r="AC48" s="170"/>
      <c r="AD48" s="69">
        <f t="shared" si="8"/>
        <v>0</v>
      </c>
      <c r="AE48" s="1627"/>
      <c r="AF48" s="165">
        <v>0</v>
      </c>
      <c r="AG48" s="69">
        <f t="shared" si="9"/>
        <v>0</v>
      </c>
      <c r="AH48" s="170"/>
      <c r="AI48" s="69">
        <f t="shared" si="10"/>
        <v>0</v>
      </c>
      <c r="AJ48" s="1627"/>
      <c r="AK48" s="39"/>
      <c r="AL48" s="54"/>
      <c r="AM48" s="166"/>
    </row>
    <row r="49" spans="1:40" ht="22.5">
      <c r="C49" s="39"/>
      <c r="D49" s="171">
        <v>6</v>
      </c>
      <c r="E49" s="173" t="s">
        <v>190</v>
      </c>
      <c r="F49" s="167"/>
      <c r="G49" s="168"/>
      <c r="H49" s="173" t="s">
        <v>183</v>
      </c>
      <c r="I49" s="169" t="s">
        <v>185</v>
      </c>
      <c r="J49" s="164">
        <v>0</v>
      </c>
      <c r="K49" s="165">
        <v>0</v>
      </c>
      <c r="L49" s="69">
        <f t="shared" si="0"/>
        <v>0</v>
      </c>
      <c r="M49" s="165">
        <v>0</v>
      </c>
      <c r="N49" s="69">
        <f t="shared" si="1"/>
        <v>0</v>
      </c>
      <c r="O49" s="165">
        <v>0</v>
      </c>
      <c r="P49" s="69">
        <f t="shared" si="2"/>
        <v>0</v>
      </c>
      <c r="Q49" s="1627"/>
      <c r="R49" s="165">
        <v>0</v>
      </c>
      <c r="S49" s="69">
        <f t="shared" si="3"/>
        <v>0</v>
      </c>
      <c r="T49" s="165">
        <v>0</v>
      </c>
      <c r="U49" s="69">
        <f t="shared" si="4"/>
        <v>0</v>
      </c>
      <c r="V49" s="170"/>
      <c r="W49" s="69">
        <f t="shared" si="5"/>
        <v>0</v>
      </c>
      <c r="X49" s="1627"/>
      <c r="Y49" s="165">
        <v>0</v>
      </c>
      <c r="Z49" s="69">
        <f t="shared" si="6"/>
        <v>0</v>
      </c>
      <c r="AA49" s="165">
        <v>0</v>
      </c>
      <c r="AB49" s="69">
        <f t="shared" si="7"/>
        <v>0</v>
      </c>
      <c r="AC49" s="170"/>
      <c r="AD49" s="69">
        <f t="shared" si="8"/>
        <v>0</v>
      </c>
      <c r="AE49" s="1627"/>
      <c r="AF49" s="165">
        <v>0</v>
      </c>
      <c r="AG49" s="69">
        <f t="shared" si="9"/>
        <v>0</v>
      </c>
      <c r="AH49" s="170"/>
      <c r="AI49" s="69">
        <f t="shared" si="10"/>
        <v>0</v>
      </c>
      <c r="AJ49" s="1627"/>
      <c r="AK49" s="39"/>
      <c r="AL49" s="54"/>
      <c r="AM49" s="166"/>
    </row>
    <row r="50" spans="1:40" ht="33.75">
      <c r="C50" s="39"/>
      <c r="D50" s="171">
        <v>7</v>
      </c>
      <c r="E50" s="174" t="s">
        <v>191</v>
      </c>
      <c r="F50" s="167" t="s">
        <v>184</v>
      </c>
      <c r="G50" s="168" t="s">
        <v>191</v>
      </c>
      <c r="H50" s="173" t="s">
        <v>183</v>
      </c>
      <c r="I50" s="175" t="s">
        <v>185</v>
      </c>
      <c r="J50" s="164">
        <v>0</v>
      </c>
      <c r="K50" s="165">
        <v>0</v>
      </c>
      <c r="L50" s="69">
        <f t="shared" si="0"/>
        <v>0</v>
      </c>
      <c r="M50" s="165">
        <v>0</v>
      </c>
      <c r="N50" s="69">
        <f t="shared" si="1"/>
        <v>0</v>
      </c>
      <c r="O50" s="165">
        <v>0</v>
      </c>
      <c r="P50" s="69">
        <f t="shared" si="2"/>
        <v>0</v>
      </c>
      <c r="Q50" s="1627"/>
      <c r="R50" s="165">
        <v>0</v>
      </c>
      <c r="S50" s="69">
        <f t="shared" si="3"/>
        <v>0</v>
      </c>
      <c r="T50" s="165">
        <v>0</v>
      </c>
      <c r="U50" s="69">
        <f t="shared" si="4"/>
        <v>0</v>
      </c>
      <c r="V50" s="170"/>
      <c r="W50" s="69">
        <f t="shared" si="5"/>
        <v>0</v>
      </c>
      <c r="X50" s="1627"/>
      <c r="Y50" s="165">
        <v>0</v>
      </c>
      <c r="Z50" s="69">
        <f t="shared" si="6"/>
        <v>0</v>
      </c>
      <c r="AA50" s="165">
        <v>0</v>
      </c>
      <c r="AB50" s="69">
        <f t="shared" si="7"/>
        <v>0</v>
      </c>
      <c r="AC50" s="170"/>
      <c r="AD50" s="69">
        <f t="shared" si="8"/>
        <v>0</v>
      </c>
      <c r="AE50" s="1627"/>
      <c r="AF50" s="165">
        <v>0</v>
      </c>
      <c r="AG50" s="69">
        <f t="shared" si="9"/>
        <v>0</v>
      </c>
      <c r="AH50" s="170"/>
      <c r="AI50" s="69">
        <f t="shared" si="10"/>
        <v>0</v>
      </c>
      <c r="AJ50" s="1627"/>
      <c r="AK50" s="39"/>
      <c r="AL50" s="54"/>
      <c r="AM50" s="166"/>
    </row>
    <row r="51" spans="1:40" ht="22.5">
      <c r="C51" s="39"/>
      <c r="D51" s="171">
        <v>8</v>
      </c>
      <c r="E51" s="174" t="s">
        <v>192</v>
      </c>
      <c r="F51" s="167" t="s">
        <v>184</v>
      </c>
      <c r="G51" s="168" t="s">
        <v>193</v>
      </c>
      <c r="H51" s="173" t="s">
        <v>183</v>
      </c>
      <c r="I51" s="175" t="s">
        <v>185</v>
      </c>
      <c r="J51" s="164">
        <v>0</v>
      </c>
      <c r="K51" s="165">
        <v>0</v>
      </c>
      <c r="L51" s="69">
        <f t="shared" si="0"/>
        <v>0</v>
      </c>
      <c r="M51" s="165">
        <v>0</v>
      </c>
      <c r="N51" s="69">
        <f t="shared" si="1"/>
        <v>0</v>
      </c>
      <c r="O51" s="165">
        <v>0</v>
      </c>
      <c r="P51" s="69">
        <f t="shared" si="2"/>
        <v>0</v>
      </c>
      <c r="Q51" s="1627"/>
      <c r="R51" s="165">
        <v>0</v>
      </c>
      <c r="S51" s="69">
        <f t="shared" si="3"/>
        <v>0</v>
      </c>
      <c r="T51" s="165">
        <v>0</v>
      </c>
      <c r="U51" s="69">
        <f t="shared" si="4"/>
        <v>0</v>
      </c>
      <c r="V51" s="170"/>
      <c r="W51" s="69">
        <f t="shared" si="5"/>
        <v>0</v>
      </c>
      <c r="X51" s="1627"/>
      <c r="Y51" s="165">
        <v>0</v>
      </c>
      <c r="Z51" s="69">
        <f t="shared" si="6"/>
        <v>0</v>
      </c>
      <c r="AA51" s="165">
        <v>0</v>
      </c>
      <c r="AB51" s="69">
        <f t="shared" si="7"/>
        <v>0</v>
      </c>
      <c r="AC51" s="170"/>
      <c r="AD51" s="69">
        <f t="shared" si="8"/>
        <v>0</v>
      </c>
      <c r="AE51" s="1627"/>
      <c r="AF51" s="165">
        <v>0</v>
      </c>
      <c r="AG51" s="69">
        <f t="shared" si="9"/>
        <v>0</v>
      </c>
      <c r="AH51" s="170"/>
      <c r="AI51" s="69">
        <f t="shared" si="10"/>
        <v>0</v>
      </c>
      <c r="AJ51" s="1627"/>
      <c r="AK51" s="39"/>
      <c r="AL51" s="54"/>
      <c r="AM51" s="166"/>
    </row>
    <row r="52" spans="1:40">
      <c r="C52" s="39"/>
      <c r="D52" s="2278">
        <v>9</v>
      </c>
      <c r="E52" s="2279" t="s">
        <v>194</v>
      </c>
      <c r="F52" s="167" t="s">
        <v>123</v>
      </c>
      <c r="G52" s="168" t="s">
        <v>194</v>
      </c>
      <c r="H52" s="2277" t="s">
        <v>195</v>
      </c>
      <c r="I52" s="171" t="s">
        <v>122</v>
      </c>
      <c r="J52" s="164">
        <v>0</v>
      </c>
      <c r="K52" s="165">
        <v>0</v>
      </c>
      <c r="L52" s="69">
        <f t="shared" si="0"/>
        <v>0</v>
      </c>
      <c r="M52" s="165">
        <v>0</v>
      </c>
      <c r="N52" s="69">
        <f t="shared" si="1"/>
        <v>0</v>
      </c>
      <c r="O52" s="165">
        <v>0</v>
      </c>
      <c r="P52" s="69">
        <f t="shared" si="2"/>
        <v>0</v>
      </c>
      <c r="Q52" s="1627"/>
      <c r="R52" s="165">
        <v>0</v>
      </c>
      <c r="S52" s="69">
        <f t="shared" si="3"/>
        <v>0</v>
      </c>
      <c r="T52" s="165">
        <v>0</v>
      </c>
      <c r="U52" s="69">
        <f t="shared" si="4"/>
        <v>0</v>
      </c>
      <c r="V52" s="170"/>
      <c r="W52" s="69">
        <f t="shared" si="5"/>
        <v>0</v>
      </c>
      <c r="X52" s="1627"/>
      <c r="Y52" s="165">
        <v>0</v>
      </c>
      <c r="Z52" s="69">
        <f t="shared" si="6"/>
        <v>0</v>
      </c>
      <c r="AA52" s="165">
        <v>0</v>
      </c>
      <c r="AB52" s="69">
        <f t="shared" si="7"/>
        <v>0</v>
      </c>
      <c r="AC52" s="170"/>
      <c r="AD52" s="69">
        <f t="shared" si="8"/>
        <v>0</v>
      </c>
      <c r="AE52" s="1627"/>
      <c r="AF52" s="165">
        <v>0</v>
      </c>
      <c r="AG52" s="69">
        <f t="shared" si="9"/>
        <v>0</v>
      </c>
      <c r="AH52" s="170"/>
      <c r="AI52" s="69">
        <f t="shared" si="10"/>
        <v>0</v>
      </c>
      <c r="AJ52" s="1627"/>
      <c r="AK52" s="39"/>
      <c r="AL52" s="54"/>
      <c r="AM52" s="166"/>
    </row>
    <row r="53" spans="1:40" ht="11.25" customHeight="1">
      <c r="C53" s="39"/>
      <c r="D53" s="2278"/>
      <c r="E53" s="2279"/>
      <c r="F53" s="167">
        <v>35</v>
      </c>
      <c r="G53" s="168" t="s">
        <v>194</v>
      </c>
      <c r="H53" s="2277"/>
      <c r="I53" s="171">
        <v>35</v>
      </c>
      <c r="J53" s="164">
        <v>0</v>
      </c>
      <c r="K53" s="165">
        <v>0</v>
      </c>
      <c r="L53" s="69">
        <f t="shared" si="0"/>
        <v>0</v>
      </c>
      <c r="M53" s="165">
        <v>0</v>
      </c>
      <c r="N53" s="69">
        <f t="shared" si="1"/>
        <v>0</v>
      </c>
      <c r="O53" s="165">
        <v>0</v>
      </c>
      <c r="P53" s="69">
        <f t="shared" si="2"/>
        <v>0</v>
      </c>
      <c r="Q53" s="1627"/>
      <c r="R53" s="165">
        <v>0</v>
      </c>
      <c r="S53" s="69">
        <f t="shared" si="3"/>
        <v>0</v>
      </c>
      <c r="T53" s="165">
        <v>0</v>
      </c>
      <c r="U53" s="69">
        <f t="shared" si="4"/>
        <v>0</v>
      </c>
      <c r="V53" s="170"/>
      <c r="W53" s="69">
        <f t="shared" si="5"/>
        <v>0</v>
      </c>
      <c r="X53" s="1627"/>
      <c r="Y53" s="165">
        <v>0</v>
      </c>
      <c r="Z53" s="69">
        <f t="shared" si="6"/>
        <v>0</v>
      </c>
      <c r="AA53" s="165">
        <v>0</v>
      </c>
      <c r="AB53" s="69">
        <f t="shared" si="7"/>
        <v>0</v>
      </c>
      <c r="AC53" s="170"/>
      <c r="AD53" s="69">
        <f t="shared" si="8"/>
        <v>0</v>
      </c>
      <c r="AE53" s="1627"/>
      <c r="AF53" s="165">
        <v>0</v>
      </c>
      <c r="AG53" s="69">
        <f t="shared" si="9"/>
        <v>0</v>
      </c>
      <c r="AH53" s="170"/>
      <c r="AI53" s="69">
        <f t="shared" si="10"/>
        <v>0</v>
      </c>
      <c r="AJ53" s="1627"/>
      <c r="AK53" s="39"/>
      <c r="AL53" s="54"/>
      <c r="AM53" s="166"/>
    </row>
    <row r="54" spans="1:40" ht="12.75" customHeight="1">
      <c r="C54" s="39"/>
      <c r="D54" s="2278"/>
      <c r="E54" s="2279"/>
      <c r="F54" s="167" t="s">
        <v>184</v>
      </c>
      <c r="G54" s="168" t="s">
        <v>194</v>
      </c>
      <c r="H54" s="2277"/>
      <c r="I54" s="175" t="s">
        <v>185</v>
      </c>
      <c r="J54" s="164">
        <v>0</v>
      </c>
      <c r="K54" s="165">
        <v>0</v>
      </c>
      <c r="L54" s="69">
        <f t="shared" si="0"/>
        <v>0</v>
      </c>
      <c r="M54" s="165">
        <v>0</v>
      </c>
      <c r="N54" s="69">
        <f t="shared" si="1"/>
        <v>0</v>
      </c>
      <c r="O54" s="165">
        <v>0</v>
      </c>
      <c r="P54" s="69">
        <f t="shared" si="2"/>
        <v>0</v>
      </c>
      <c r="Q54" s="1627"/>
      <c r="R54" s="165">
        <v>0</v>
      </c>
      <c r="S54" s="69">
        <f t="shared" si="3"/>
        <v>0</v>
      </c>
      <c r="T54" s="165">
        <v>0</v>
      </c>
      <c r="U54" s="69">
        <f t="shared" si="4"/>
        <v>0</v>
      </c>
      <c r="V54" s="170"/>
      <c r="W54" s="69">
        <f t="shared" si="5"/>
        <v>0</v>
      </c>
      <c r="X54" s="1627"/>
      <c r="Y54" s="165">
        <v>0</v>
      </c>
      <c r="Z54" s="69">
        <f t="shared" si="6"/>
        <v>0</v>
      </c>
      <c r="AA54" s="165">
        <v>0</v>
      </c>
      <c r="AB54" s="69">
        <f t="shared" si="7"/>
        <v>0</v>
      </c>
      <c r="AC54" s="170"/>
      <c r="AD54" s="69">
        <f t="shared" si="8"/>
        <v>0</v>
      </c>
      <c r="AE54" s="1627"/>
      <c r="AF54" s="165">
        <v>0</v>
      </c>
      <c r="AG54" s="69">
        <f t="shared" si="9"/>
        <v>0</v>
      </c>
      <c r="AH54" s="170"/>
      <c r="AI54" s="69">
        <f t="shared" si="10"/>
        <v>0</v>
      </c>
      <c r="AJ54" s="1627"/>
      <c r="AK54" s="39"/>
      <c r="AL54" s="54"/>
      <c r="AM54" s="166"/>
    </row>
    <row r="55" spans="1:40" ht="23.25" customHeight="1">
      <c r="C55" s="39"/>
      <c r="D55" s="171">
        <v>10</v>
      </c>
      <c r="E55" s="176" t="s">
        <v>196</v>
      </c>
      <c r="F55" s="167" t="s">
        <v>184</v>
      </c>
      <c r="G55" s="168" t="s">
        <v>196</v>
      </c>
      <c r="H55" s="173" t="s">
        <v>197</v>
      </c>
      <c r="I55" s="175" t="s">
        <v>185</v>
      </c>
      <c r="J55" s="164">
        <v>0</v>
      </c>
      <c r="K55" s="165">
        <v>0</v>
      </c>
      <c r="L55" s="69">
        <f t="shared" si="0"/>
        <v>0</v>
      </c>
      <c r="M55" s="165">
        <v>0</v>
      </c>
      <c r="N55" s="69">
        <f t="shared" si="1"/>
        <v>0</v>
      </c>
      <c r="O55" s="165">
        <v>0</v>
      </c>
      <c r="P55" s="69">
        <f t="shared" si="2"/>
        <v>0</v>
      </c>
      <c r="Q55" s="1627"/>
      <c r="R55" s="165">
        <v>0</v>
      </c>
      <c r="S55" s="69">
        <f t="shared" si="3"/>
        <v>0</v>
      </c>
      <c r="T55" s="165">
        <v>0</v>
      </c>
      <c r="U55" s="69">
        <f t="shared" si="4"/>
        <v>0</v>
      </c>
      <c r="V55" s="170"/>
      <c r="W55" s="69">
        <f t="shared" si="5"/>
        <v>0</v>
      </c>
      <c r="X55" s="1627"/>
      <c r="Y55" s="165">
        <v>0</v>
      </c>
      <c r="Z55" s="69">
        <f t="shared" si="6"/>
        <v>0</v>
      </c>
      <c r="AA55" s="165">
        <v>0</v>
      </c>
      <c r="AB55" s="69">
        <f t="shared" si="7"/>
        <v>0</v>
      </c>
      <c r="AC55" s="170"/>
      <c r="AD55" s="69">
        <f t="shared" si="8"/>
        <v>0</v>
      </c>
      <c r="AE55" s="1627"/>
      <c r="AF55" s="165">
        <v>0</v>
      </c>
      <c r="AG55" s="69">
        <f t="shared" si="9"/>
        <v>0</v>
      </c>
      <c r="AH55" s="170"/>
      <c r="AI55" s="69">
        <f t="shared" si="10"/>
        <v>0</v>
      </c>
      <c r="AJ55" s="1627"/>
      <c r="AK55" s="39"/>
      <c r="AL55" s="54"/>
      <c r="AM55" s="166"/>
    </row>
    <row r="56" spans="1:40" ht="23.25" customHeight="1">
      <c r="C56" s="39"/>
      <c r="D56" s="171">
        <v>11</v>
      </c>
      <c r="E56" s="176" t="s">
        <v>198</v>
      </c>
      <c r="F56" s="167" t="s">
        <v>199</v>
      </c>
      <c r="G56" s="168" t="s">
        <v>185</v>
      </c>
      <c r="H56" s="173" t="s">
        <v>199</v>
      </c>
      <c r="I56" s="175" t="s">
        <v>185</v>
      </c>
      <c r="J56" s="164">
        <v>0</v>
      </c>
      <c r="K56" s="165">
        <v>0</v>
      </c>
      <c r="L56" s="69">
        <f t="shared" si="0"/>
        <v>0</v>
      </c>
      <c r="M56" s="165">
        <v>0</v>
      </c>
      <c r="N56" s="69">
        <f t="shared" si="1"/>
        <v>0</v>
      </c>
      <c r="O56" s="165">
        <v>0</v>
      </c>
      <c r="P56" s="69">
        <f t="shared" si="2"/>
        <v>0</v>
      </c>
      <c r="Q56" s="1627"/>
      <c r="R56" s="165">
        <v>0</v>
      </c>
      <c r="S56" s="69">
        <f t="shared" si="3"/>
        <v>0</v>
      </c>
      <c r="T56" s="165">
        <v>0</v>
      </c>
      <c r="U56" s="69">
        <f t="shared" si="4"/>
        <v>0</v>
      </c>
      <c r="V56" s="170"/>
      <c r="W56" s="69">
        <f t="shared" si="5"/>
        <v>0</v>
      </c>
      <c r="X56" s="1627"/>
      <c r="Y56" s="165">
        <v>0</v>
      </c>
      <c r="Z56" s="69">
        <f t="shared" si="6"/>
        <v>0</v>
      </c>
      <c r="AA56" s="165">
        <v>0</v>
      </c>
      <c r="AB56" s="69">
        <f t="shared" si="7"/>
        <v>0</v>
      </c>
      <c r="AC56" s="170"/>
      <c r="AD56" s="69">
        <f t="shared" si="8"/>
        <v>0</v>
      </c>
      <c r="AE56" s="1627"/>
      <c r="AF56" s="165">
        <v>0</v>
      </c>
      <c r="AG56" s="69">
        <f t="shared" si="9"/>
        <v>0</v>
      </c>
      <c r="AH56" s="170"/>
      <c r="AI56" s="69">
        <f t="shared" si="10"/>
        <v>0</v>
      </c>
      <c r="AJ56" s="1627"/>
      <c r="AK56" s="39"/>
      <c r="AL56" s="54"/>
      <c r="AM56" s="166"/>
    </row>
    <row r="57" spans="1:40" ht="23.25" customHeight="1">
      <c r="C57" s="39"/>
      <c r="D57" s="171">
        <v>12</v>
      </c>
      <c r="E57" s="176" t="s">
        <v>200</v>
      </c>
      <c r="F57" s="167" t="s">
        <v>199</v>
      </c>
      <c r="G57" s="168" t="s">
        <v>185</v>
      </c>
      <c r="H57" s="173" t="s">
        <v>199</v>
      </c>
      <c r="I57" s="175" t="s">
        <v>185</v>
      </c>
      <c r="J57" s="164">
        <v>0</v>
      </c>
      <c r="K57" s="165">
        <v>0</v>
      </c>
      <c r="L57" s="69">
        <f t="shared" si="0"/>
        <v>0</v>
      </c>
      <c r="M57" s="165">
        <v>0</v>
      </c>
      <c r="N57" s="69">
        <f t="shared" si="1"/>
        <v>0</v>
      </c>
      <c r="O57" s="165">
        <v>0</v>
      </c>
      <c r="P57" s="69">
        <f t="shared" si="2"/>
        <v>0</v>
      </c>
      <c r="Q57" s="1627"/>
      <c r="R57" s="165">
        <v>0</v>
      </c>
      <c r="S57" s="69">
        <f t="shared" si="3"/>
        <v>0</v>
      </c>
      <c r="T57" s="165">
        <v>0</v>
      </c>
      <c r="U57" s="69">
        <f t="shared" si="4"/>
        <v>0</v>
      </c>
      <c r="V57" s="170"/>
      <c r="W57" s="69">
        <f t="shared" si="5"/>
        <v>0</v>
      </c>
      <c r="X57" s="1627"/>
      <c r="Y57" s="165">
        <v>0</v>
      </c>
      <c r="Z57" s="69">
        <f t="shared" si="6"/>
        <v>0</v>
      </c>
      <c r="AA57" s="165">
        <v>0</v>
      </c>
      <c r="AB57" s="69">
        <f t="shared" si="7"/>
        <v>0</v>
      </c>
      <c r="AC57" s="170"/>
      <c r="AD57" s="69">
        <f t="shared" si="8"/>
        <v>0</v>
      </c>
      <c r="AE57" s="1627"/>
      <c r="AF57" s="165">
        <v>0</v>
      </c>
      <c r="AG57" s="69">
        <f t="shared" si="9"/>
        <v>0</v>
      </c>
      <c r="AH57" s="170"/>
      <c r="AI57" s="69">
        <f t="shared" si="10"/>
        <v>0</v>
      </c>
      <c r="AJ57" s="1627"/>
      <c r="AK57" s="39"/>
      <c r="AL57" s="54"/>
      <c r="AM57" s="166"/>
    </row>
    <row r="58" spans="1:40" ht="23.25" customHeight="1">
      <c r="A58" s="15" t="s">
        <v>218</v>
      </c>
      <c r="C58" s="39"/>
      <c r="D58" s="171"/>
      <c r="E58" s="176" t="s">
        <v>201</v>
      </c>
      <c r="F58" s="174" t="s">
        <v>202</v>
      </c>
      <c r="G58" s="177">
        <v>43831</v>
      </c>
      <c r="H58" s="173" t="s">
        <v>202</v>
      </c>
      <c r="I58" s="175" t="s">
        <v>185</v>
      </c>
      <c r="J58" s="164">
        <v>0</v>
      </c>
      <c r="K58" s="165"/>
      <c r="L58" s="69">
        <f>$J58*K58</f>
        <v>0</v>
      </c>
      <c r="M58" s="165"/>
      <c r="N58" s="69">
        <f>$J58*M58</f>
        <v>0</v>
      </c>
      <c r="O58" s="165"/>
      <c r="P58" s="69">
        <f>$J58*O58</f>
        <v>0</v>
      </c>
      <c r="Q58" s="1627"/>
      <c r="R58" s="165"/>
      <c r="S58" s="69">
        <f>$J58*R58</f>
        <v>0</v>
      </c>
      <c r="T58" s="165"/>
      <c r="U58" s="69">
        <f>$J58*T58</f>
        <v>0</v>
      </c>
      <c r="V58" s="170"/>
      <c r="W58" s="69">
        <f>$J58*V58</f>
        <v>0</v>
      </c>
      <c r="X58" s="1627"/>
      <c r="Y58" s="165"/>
      <c r="Z58" s="69">
        <f>$J58*Y58</f>
        <v>0</v>
      </c>
      <c r="AA58" s="165"/>
      <c r="AB58" s="69">
        <f>$J58*AA58</f>
        <v>0</v>
      </c>
      <c r="AC58" s="170"/>
      <c r="AD58" s="69">
        <f>$J58*AC58</f>
        <v>0</v>
      </c>
      <c r="AE58" s="1627"/>
      <c r="AF58" s="165"/>
      <c r="AG58" s="69">
        <f>$J58*AF58</f>
        <v>0</v>
      </c>
      <c r="AH58" s="170"/>
      <c r="AI58" s="69">
        <f>$J58*AH58</f>
        <v>0</v>
      </c>
      <c r="AJ58" s="1627"/>
      <c r="AK58" s="39"/>
      <c r="AL58" s="54"/>
      <c r="AM58" s="166"/>
    </row>
    <row r="59" spans="1:40" ht="23.25" customHeight="1">
      <c r="A59" s="15" t="s">
        <v>218</v>
      </c>
      <c r="C59" s="39"/>
      <c r="D59" s="171"/>
      <c r="E59" s="176" t="s">
        <v>203</v>
      </c>
      <c r="F59" s="174" t="s">
        <v>204</v>
      </c>
      <c r="G59" s="177">
        <v>43831</v>
      </c>
      <c r="H59" s="173" t="s">
        <v>204</v>
      </c>
      <c r="I59" s="175" t="s">
        <v>185</v>
      </c>
      <c r="J59" s="164">
        <v>0</v>
      </c>
      <c r="K59" s="165"/>
      <c r="L59" s="69">
        <f>$J59*K59</f>
        <v>0</v>
      </c>
      <c r="M59" s="165"/>
      <c r="N59" s="69">
        <f>$J59*M59</f>
        <v>0</v>
      </c>
      <c r="O59" s="165"/>
      <c r="P59" s="69">
        <f>$J59*O59</f>
        <v>0</v>
      </c>
      <c r="Q59" s="1627"/>
      <c r="R59" s="165"/>
      <c r="S59" s="69">
        <f>$J59*R59</f>
        <v>0</v>
      </c>
      <c r="T59" s="165"/>
      <c r="U59" s="69">
        <f>$J59*T59</f>
        <v>0</v>
      </c>
      <c r="V59" s="170"/>
      <c r="W59" s="69">
        <f>$J59*V59</f>
        <v>0</v>
      </c>
      <c r="X59" s="1627"/>
      <c r="Y59" s="165"/>
      <c r="Z59" s="69">
        <f>$J59*Y59</f>
        <v>0</v>
      </c>
      <c r="AA59" s="165"/>
      <c r="AB59" s="69">
        <f>$J59*AA59</f>
        <v>0</v>
      </c>
      <c r="AC59" s="170"/>
      <c r="AD59" s="69">
        <f>$J59*AC59</f>
        <v>0</v>
      </c>
      <c r="AE59" s="1627"/>
      <c r="AF59" s="165"/>
      <c r="AG59" s="69">
        <f>$J59*AF59</f>
        <v>0</v>
      </c>
      <c r="AH59" s="170"/>
      <c r="AI59" s="69">
        <f>$J59*AH59</f>
        <v>0</v>
      </c>
      <c r="AJ59" s="1627"/>
      <c r="AK59" s="39"/>
      <c r="AL59" s="54"/>
      <c r="AM59" s="166"/>
    </row>
    <row r="60" spans="1:40" ht="23.25" customHeight="1">
      <c r="C60" s="39"/>
      <c r="D60" s="178" t="s">
        <v>205</v>
      </c>
      <c r="E60" s="176" t="s">
        <v>206</v>
      </c>
      <c r="F60" s="167" t="s">
        <v>181</v>
      </c>
      <c r="G60" s="168">
        <v>35</v>
      </c>
      <c r="H60" s="173" t="s">
        <v>181</v>
      </c>
      <c r="I60" s="171">
        <v>35</v>
      </c>
      <c r="J60" s="164">
        <v>0</v>
      </c>
      <c r="K60" s="165">
        <v>0</v>
      </c>
      <c r="L60" s="69">
        <f t="shared" ref="L60" si="11">$J60*K60</f>
        <v>0</v>
      </c>
      <c r="M60" s="165">
        <v>0</v>
      </c>
      <c r="N60" s="69">
        <f t="shared" ref="N60" si="12">$J60*M60</f>
        <v>0</v>
      </c>
      <c r="O60" s="165">
        <v>0</v>
      </c>
      <c r="P60" s="69">
        <f t="shared" si="2"/>
        <v>0</v>
      </c>
      <c r="Q60" s="1627"/>
      <c r="R60" s="165">
        <v>0</v>
      </c>
      <c r="S60" s="69">
        <f t="shared" ref="S60" si="13">$J60*R60</f>
        <v>0</v>
      </c>
      <c r="T60" s="165">
        <v>0</v>
      </c>
      <c r="U60" s="69">
        <f t="shared" si="4"/>
        <v>0</v>
      </c>
      <c r="V60" s="170"/>
      <c r="W60" s="69">
        <f t="shared" si="5"/>
        <v>0</v>
      </c>
      <c r="X60" s="1627"/>
      <c r="Y60" s="165">
        <v>0</v>
      </c>
      <c r="Z60" s="69">
        <f t="shared" ref="Z60" si="14">$J60*Y60</f>
        <v>0</v>
      </c>
      <c r="AA60" s="165">
        <v>0</v>
      </c>
      <c r="AB60" s="69">
        <f t="shared" si="7"/>
        <v>0</v>
      </c>
      <c r="AC60" s="170"/>
      <c r="AD60" s="69">
        <f t="shared" si="8"/>
        <v>0</v>
      </c>
      <c r="AE60" s="1627"/>
      <c r="AF60" s="165">
        <v>0</v>
      </c>
      <c r="AG60" s="69">
        <f t="shared" si="9"/>
        <v>0</v>
      </c>
      <c r="AH60" s="170"/>
      <c r="AI60" s="69">
        <f t="shared" si="10"/>
        <v>0</v>
      </c>
      <c r="AJ60" s="1627"/>
      <c r="AK60" s="39"/>
      <c r="AL60" s="54"/>
      <c r="AM60" s="166"/>
    </row>
    <row r="61" spans="1:40" s="107" customFormat="1" ht="13.15" customHeight="1">
      <c r="C61" s="92"/>
      <c r="D61" s="2286" t="s">
        <v>207</v>
      </c>
      <c r="E61" s="2287" t="s">
        <v>167</v>
      </c>
      <c r="F61" s="179" t="s">
        <v>168</v>
      </c>
      <c r="G61" s="180"/>
      <c r="H61" s="2286"/>
      <c r="I61" s="181" t="s">
        <v>168</v>
      </c>
      <c r="J61" s="2286"/>
      <c r="K61" s="182"/>
      <c r="L61" s="183">
        <f>SUM(L17:L22,L24:L29,L32:L37,L40:L41,L44:L47,L52)</f>
        <v>0</v>
      </c>
      <c r="M61" s="182"/>
      <c r="N61" s="183">
        <f>SUM(N17:N22,N24:N29,N32:N37,N40:N41,N44:N47,N52)</f>
        <v>0</v>
      </c>
      <c r="O61" s="182"/>
      <c r="P61" s="183">
        <f>SUM(P17:P22,P24:P29,P32:P37,P40:P41,P44:P47,P52)</f>
        <v>0</v>
      </c>
      <c r="Q61" s="1628"/>
      <c r="R61" s="182"/>
      <c r="S61" s="183">
        <f>SUM(S17:S22,S24:S29,S32:S37,S40:S41,S44:S47,S52)</f>
        <v>0</v>
      </c>
      <c r="T61" s="182"/>
      <c r="U61" s="183">
        <f>SUM(U17:U22,U24:U29,U32:U37,U40:U41,U44:U47,U52)</f>
        <v>0</v>
      </c>
      <c r="V61" s="182"/>
      <c r="W61" s="183">
        <f>SUM(W17:W22,W24:W29,W32:W37,W40:W41,W44:W47,W52)</f>
        <v>0</v>
      </c>
      <c r="X61" s="1628"/>
      <c r="Y61" s="182"/>
      <c r="Z61" s="183">
        <f>SUM(Z17:Z22,Z24:Z29,Z32:Z37,Z40:Z41,Z44:Z47,Z52)</f>
        <v>0</v>
      </c>
      <c r="AA61" s="182"/>
      <c r="AB61" s="183">
        <f>SUM(AB17:AB22,AB24:AB29,AB32:AB37,AB40:AB41,AB44:AB47,AB52)</f>
        <v>0</v>
      </c>
      <c r="AC61" s="182"/>
      <c r="AD61" s="183">
        <f>SUM(AD17:AD22,AD24:AD29,AD32:AD37,AD40:AD41,AD44:AD47,AD52)</f>
        <v>0</v>
      </c>
      <c r="AE61" s="1628"/>
      <c r="AF61" s="182"/>
      <c r="AG61" s="183">
        <f>SUM(AG17:AG22,AG24:AG29,AG32:AG37,AG40:AG41,AG44:AG47,AG52)</f>
        <v>0</v>
      </c>
      <c r="AH61" s="182"/>
      <c r="AI61" s="183">
        <f>SUM(AI17:AI22,AI24:AI29,AI32:AI37,AI40:AI41,AI44:AI47,AI52)</f>
        <v>0</v>
      </c>
      <c r="AJ61" s="1628"/>
      <c r="AK61" s="92"/>
      <c r="AL61" s="104"/>
      <c r="AM61" s="184"/>
      <c r="AN61" s="15"/>
    </row>
    <row r="62" spans="1:40" s="107" customFormat="1">
      <c r="C62" s="92"/>
      <c r="D62" s="2286"/>
      <c r="E62" s="2288"/>
      <c r="F62" s="179" t="s">
        <v>208</v>
      </c>
      <c r="G62" s="180"/>
      <c r="H62" s="2286"/>
      <c r="I62" s="181" t="s">
        <v>208</v>
      </c>
      <c r="J62" s="2286"/>
      <c r="K62" s="182"/>
      <c r="L62" s="183">
        <f>L23+L30+L38+L42+L48+L53+L60</f>
        <v>0</v>
      </c>
      <c r="M62" s="182"/>
      <c r="N62" s="183">
        <f>N23+N30+N38+N42+N48+N53+N60</f>
        <v>0</v>
      </c>
      <c r="O62" s="182"/>
      <c r="P62" s="183">
        <f>P23+P30+P38+P42+P48+P53+P60</f>
        <v>0</v>
      </c>
      <c r="Q62" s="1628"/>
      <c r="R62" s="182"/>
      <c r="S62" s="183">
        <f>S23+S30+S38+S42+S48+S53+S60</f>
        <v>0</v>
      </c>
      <c r="T62" s="182"/>
      <c r="U62" s="183">
        <f>U23+U30+U38+U42+U48+U53+U60</f>
        <v>0</v>
      </c>
      <c r="V62" s="182"/>
      <c r="W62" s="183">
        <f>W23+W30+W38+W42+W48+W53</f>
        <v>0</v>
      </c>
      <c r="X62" s="1628"/>
      <c r="Y62" s="182"/>
      <c r="Z62" s="183">
        <f>Z23+Z30+Z38+Z42+Z48+Z53+Z60</f>
        <v>0</v>
      </c>
      <c r="AA62" s="182"/>
      <c r="AB62" s="183">
        <f>AB23+AB30+AB38+AB42+AB48+AB53+AB60</f>
        <v>0</v>
      </c>
      <c r="AC62" s="182"/>
      <c r="AD62" s="183">
        <f>AD23+AD30+AD38+AD42+AD48+AD53</f>
        <v>0</v>
      </c>
      <c r="AE62" s="1628"/>
      <c r="AF62" s="182"/>
      <c r="AG62" s="183">
        <f>AG23+AG30+AG38+AG42+AG48+AG53+AG60</f>
        <v>0</v>
      </c>
      <c r="AH62" s="182"/>
      <c r="AI62" s="183">
        <f>AI23+AI30+AI38+AI42+AI48+AI53</f>
        <v>0</v>
      </c>
      <c r="AJ62" s="1628"/>
      <c r="AK62" s="92"/>
      <c r="AL62" s="104"/>
      <c r="AM62" s="184"/>
      <c r="AN62" s="15"/>
    </row>
    <row r="63" spans="1:40" s="107" customFormat="1">
      <c r="C63" s="92"/>
      <c r="D63" s="2286"/>
      <c r="E63" s="2288"/>
      <c r="F63" s="179" t="s">
        <v>209</v>
      </c>
      <c r="G63" s="180"/>
      <c r="H63" s="2286"/>
      <c r="I63" s="181" t="s">
        <v>209</v>
      </c>
      <c r="J63" s="2286"/>
      <c r="K63" s="182"/>
      <c r="L63" s="183">
        <f>L31+L39+L43+L49+L50+L51+L54+L55+L56+L57+L58+L59</f>
        <v>0</v>
      </c>
      <c r="M63" s="182"/>
      <c r="N63" s="183">
        <f>N31+N39+N43+N49+N50+N51+N54+N55+N56+N57+N58+N59</f>
        <v>0</v>
      </c>
      <c r="O63" s="182"/>
      <c r="P63" s="183">
        <f>P31+P39+P43+P49+P50+P51+P54+P55+P56+P57+P58+P59</f>
        <v>0</v>
      </c>
      <c r="Q63" s="1628"/>
      <c r="R63" s="182"/>
      <c r="S63" s="183">
        <f>S31+S39+S43+S49+S50+S51+S54+S55+S56+S57+S58+S59</f>
        <v>0</v>
      </c>
      <c r="T63" s="182"/>
      <c r="U63" s="183">
        <f>U31+U39+U43+U49+U50+U51+U54+U55+U56+U57+U58+U59</f>
        <v>0</v>
      </c>
      <c r="V63" s="182"/>
      <c r="W63" s="183">
        <f>W31+W39+W43+W49+W50+W51+W54+W55+W56+W57+W58+W59</f>
        <v>0</v>
      </c>
      <c r="X63" s="1628"/>
      <c r="Y63" s="182"/>
      <c r="Z63" s="183">
        <f>Z31+Z39+Z43+Z49+Z50+Z51+Z54+Z55+Z56+Z57+Z58+Z59</f>
        <v>0</v>
      </c>
      <c r="AA63" s="182"/>
      <c r="AB63" s="183">
        <f>AB31+AB39+AB43+AB49+AB50+AB51+AB54+AB55+AB56+AB57+AB58+AB59</f>
        <v>0</v>
      </c>
      <c r="AC63" s="182"/>
      <c r="AD63" s="183">
        <f>AD31+AD39+AD43+AD49+AD50+AD51+AD54+AD55+AD56+AD57+AD58+AD59</f>
        <v>0</v>
      </c>
      <c r="AE63" s="1628"/>
      <c r="AF63" s="182"/>
      <c r="AG63" s="183">
        <f>AG31+AG39+AG43+AG49+AG50+AG51+AG54+AG55+AG56+AG57+AG58+AG59</f>
        <v>0</v>
      </c>
      <c r="AH63" s="182"/>
      <c r="AI63" s="183">
        <f>AI31+AI39+AI43+AI49+AI50+AI51+AI54+AI55+AI56+AI57+AI58+AI59</f>
        <v>0</v>
      </c>
      <c r="AJ63" s="1628"/>
      <c r="AK63" s="92"/>
      <c r="AL63" s="104"/>
      <c r="AM63" s="184"/>
      <c r="AN63" s="15"/>
    </row>
    <row r="64" spans="1:40" s="107" customFormat="1" ht="11.25" customHeight="1">
      <c r="C64" s="92"/>
      <c r="D64" s="2286"/>
      <c r="E64" s="2288"/>
      <c r="F64" s="179" t="s">
        <v>171</v>
      </c>
      <c r="G64" s="180"/>
      <c r="H64" s="2286"/>
      <c r="I64" s="181" t="s">
        <v>171</v>
      </c>
      <c r="J64" s="2286"/>
      <c r="K64" s="182"/>
      <c r="L64" s="183">
        <v>0</v>
      </c>
      <c r="M64" s="182"/>
      <c r="N64" s="183">
        <v>0</v>
      </c>
      <c r="O64" s="182"/>
      <c r="P64" s="183">
        <v>0</v>
      </c>
      <c r="Q64" s="1628"/>
      <c r="R64" s="182"/>
      <c r="S64" s="183">
        <v>0</v>
      </c>
      <c r="T64" s="182"/>
      <c r="U64" s="183">
        <v>0</v>
      </c>
      <c r="V64" s="182"/>
      <c r="W64" s="183">
        <v>0</v>
      </c>
      <c r="X64" s="1628"/>
      <c r="Y64" s="182"/>
      <c r="Z64" s="183">
        <v>0</v>
      </c>
      <c r="AA64" s="182"/>
      <c r="AB64" s="183">
        <v>0</v>
      </c>
      <c r="AC64" s="182"/>
      <c r="AD64" s="183">
        <v>0</v>
      </c>
      <c r="AE64" s="1628"/>
      <c r="AF64" s="182"/>
      <c r="AG64" s="183">
        <v>0</v>
      </c>
      <c r="AH64" s="182"/>
      <c r="AI64" s="183">
        <v>0</v>
      </c>
      <c r="AJ64" s="1628"/>
      <c r="AK64" s="92"/>
      <c r="AL64" s="104"/>
      <c r="AM64" s="184"/>
      <c r="AN64" s="15"/>
    </row>
    <row r="65" spans="3:40" s="107" customFormat="1" ht="12.75" customHeight="1">
      <c r="C65" s="92"/>
      <c r="D65" s="2286">
        <v>14</v>
      </c>
      <c r="E65" s="2289"/>
      <c r="F65" s="185" t="s">
        <v>172</v>
      </c>
      <c r="G65" s="186"/>
      <c r="H65" s="2286"/>
      <c r="I65" s="187" t="s">
        <v>172</v>
      </c>
      <c r="J65" s="2286"/>
      <c r="K65" s="100">
        <f t="shared" ref="K65:P65" si="15">K61+K62+K63+K64</f>
        <v>0</v>
      </c>
      <c r="L65" s="100">
        <f t="shared" si="15"/>
        <v>0</v>
      </c>
      <c r="M65" s="100">
        <f t="shared" si="15"/>
        <v>0</v>
      </c>
      <c r="N65" s="100">
        <f t="shared" si="15"/>
        <v>0</v>
      </c>
      <c r="O65" s="100">
        <f t="shared" si="15"/>
        <v>0</v>
      </c>
      <c r="P65" s="100">
        <f t="shared" si="15"/>
        <v>0</v>
      </c>
      <c r="Q65" s="1629"/>
      <c r="R65" s="100">
        <f>R61+R62+R63+R64</f>
        <v>0</v>
      </c>
      <c r="S65" s="100">
        <f>S61+S62+S63+S64</f>
        <v>0</v>
      </c>
      <c r="T65" s="100">
        <f t="shared" ref="T65:AG65" si="16">T61+T62+T63+T64</f>
        <v>0</v>
      </c>
      <c r="U65" s="100">
        <f t="shared" si="16"/>
        <v>0</v>
      </c>
      <c r="V65" s="100">
        <f t="shared" si="16"/>
        <v>0</v>
      </c>
      <c r="W65" s="100">
        <f t="shared" si="16"/>
        <v>0</v>
      </c>
      <c r="X65" s="1629"/>
      <c r="Y65" s="100">
        <f t="shared" ref="Y65:AD65" si="17">Y61+Y62+Y63+Y64</f>
        <v>0</v>
      </c>
      <c r="Z65" s="100">
        <f t="shared" si="17"/>
        <v>0</v>
      </c>
      <c r="AA65" s="100">
        <f t="shared" si="17"/>
        <v>0</v>
      </c>
      <c r="AB65" s="100">
        <f t="shared" si="17"/>
        <v>0</v>
      </c>
      <c r="AC65" s="100">
        <f t="shared" si="17"/>
        <v>0</v>
      </c>
      <c r="AD65" s="100">
        <f t="shared" si="17"/>
        <v>0</v>
      </c>
      <c r="AE65" s="1629"/>
      <c r="AF65" s="100">
        <f t="shared" si="16"/>
        <v>0</v>
      </c>
      <c r="AG65" s="100">
        <f t="shared" si="16"/>
        <v>0</v>
      </c>
      <c r="AH65" s="100">
        <f>AH61+AH62+AH63+AH64</f>
        <v>0</v>
      </c>
      <c r="AI65" s="100">
        <f>AI61+AI62+AI63+AI64</f>
        <v>0</v>
      </c>
      <c r="AJ65" s="1629"/>
      <c r="AK65" s="92"/>
      <c r="AL65" s="104"/>
      <c r="AM65" s="184"/>
      <c r="AN65" s="15"/>
    </row>
    <row r="66" spans="3:40" ht="13.5" customHeight="1">
      <c r="C66" s="39"/>
      <c r="D66" s="188"/>
      <c r="E66" s="189"/>
      <c r="F66" s="190"/>
      <c r="G66" s="191"/>
      <c r="H66" s="189"/>
      <c r="I66" s="192"/>
      <c r="J66" s="193"/>
      <c r="K66" s="194"/>
      <c r="L66" s="195"/>
      <c r="M66" s="194"/>
      <c r="N66" s="195"/>
      <c r="O66" s="194"/>
      <c r="P66" s="195"/>
      <c r="Q66" s="195"/>
      <c r="R66" s="194"/>
      <c r="S66" s="195"/>
      <c r="T66" s="194"/>
      <c r="U66" s="195"/>
      <c r="V66" s="194"/>
      <c r="W66" s="195"/>
      <c r="X66" s="195"/>
      <c r="Y66" s="194"/>
      <c r="Z66" s="195"/>
      <c r="AA66" s="194"/>
      <c r="AB66" s="195"/>
      <c r="AC66" s="194"/>
      <c r="AD66" s="195"/>
      <c r="AE66" s="195"/>
      <c r="AF66" s="194"/>
      <c r="AG66" s="195"/>
      <c r="AH66" s="194"/>
      <c r="AI66" s="195"/>
      <c r="AJ66" s="195"/>
      <c r="AK66" s="44"/>
      <c r="AL66" s="44"/>
      <c r="AM66" s="196"/>
    </row>
    <row r="67" spans="3:40">
      <c r="C67" s="39"/>
      <c r="D67" s="188"/>
      <c r="E67" s="189"/>
      <c r="F67" s="190"/>
      <c r="G67" s="191"/>
      <c r="H67" s="189"/>
      <c r="I67" s="197"/>
      <c r="J67" s="193"/>
      <c r="K67" s="194"/>
      <c r="L67" s="195"/>
      <c r="M67" s="194"/>
      <c r="N67" s="195"/>
      <c r="O67" s="194"/>
      <c r="P67" s="195"/>
      <c r="Q67" s="195"/>
      <c r="R67" s="194"/>
      <c r="S67" s="195"/>
      <c r="T67" s="194"/>
      <c r="U67" s="195"/>
      <c r="V67" s="194"/>
      <c r="W67" s="195"/>
      <c r="X67" s="195"/>
      <c r="Y67" s="194"/>
      <c r="Z67" s="195"/>
      <c r="AA67" s="194"/>
      <c r="AB67" s="195"/>
      <c r="AC67" s="194"/>
      <c r="AD67" s="195"/>
      <c r="AE67" s="195"/>
      <c r="AF67" s="194"/>
      <c r="AG67" s="195"/>
      <c r="AH67" s="194"/>
      <c r="AI67" s="195"/>
      <c r="AJ67" s="195"/>
      <c r="AK67" s="44"/>
      <c r="AL67" s="44"/>
      <c r="AM67" s="196"/>
    </row>
    <row r="68" spans="3:40">
      <c r="C68" s="39"/>
      <c r="D68" s="192"/>
      <c r="E68" s="189"/>
      <c r="F68" s="190"/>
      <c r="G68" s="191"/>
      <c r="H68" s="198"/>
      <c r="I68" s="197"/>
      <c r="J68" s="193"/>
      <c r="K68" s="194"/>
      <c r="L68" s="195"/>
      <c r="M68" s="194"/>
      <c r="N68" s="195"/>
      <c r="O68" s="194"/>
      <c r="P68" s="195"/>
      <c r="Q68" s="195"/>
      <c r="R68" s="194"/>
      <c r="S68" s="195"/>
      <c r="T68" s="194"/>
      <c r="U68" s="195"/>
      <c r="V68" s="194"/>
      <c r="W68" s="195"/>
      <c r="X68" s="195"/>
      <c r="Y68" s="194"/>
      <c r="Z68" s="195"/>
      <c r="AA68" s="194"/>
      <c r="AB68" s="195"/>
      <c r="AC68" s="194"/>
      <c r="AD68" s="195"/>
      <c r="AE68" s="195"/>
      <c r="AF68" s="194"/>
      <c r="AG68" s="195"/>
      <c r="AH68" s="194"/>
      <c r="AI68" s="195"/>
      <c r="AJ68" s="195"/>
      <c r="AK68" s="44"/>
      <c r="AL68" s="44"/>
      <c r="AM68" s="196"/>
    </row>
    <row r="69" spans="3:40" ht="14.1" customHeight="1">
      <c r="C69" s="39"/>
      <c r="D69" s="188"/>
      <c r="E69" s="189"/>
      <c r="F69" s="190"/>
      <c r="G69" s="191"/>
      <c r="H69" s="189"/>
      <c r="I69" s="197"/>
      <c r="J69" s="193"/>
      <c r="K69" s="194"/>
      <c r="L69" s="195"/>
      <c r="M69" s="194"/>
      <c r="N69" s="195"/>
      <c r="O69" s="194"/>
      <c r="P69" s="195"/>
      <c r="Q69" s="195"/>
      <c r="R69" s="194"/>
      <c r="S69" s="195"/>
      <c r="T69" s="194"/>
      <c r="U69" s="195"/>
      <c r="V69" s="194"/>
      <c r="W69" s="195"/>
      <c r="X69" s="195"/>
      <c r="Y69" s="194"/>
      <c r="Z69" s="195"/>
      <c r="AA69" s="194"/>
      <c r="AB69" s="195"/>
      <c r="AC69" s="194"/>
      <c r="AD69" s="195"/>
      <c r="AE69" s="195"/>
      <c r="AF69" s="194"/>
      <c r="AG69" s="195"/>
      <c r="AH69" s="194"/>
      <c r="AI69" s="195"/>
      <c r="AJ69" s="195"/>
      <c r="AK69" s="44"/>
      <c r="AL69" s="44"/>
      <c r="AM69" s="196"/>
    </row>
    <row r="70" spans="3:40" ht="14.1" customHeight="1">
      <c r="C70" s="39"/>
      <c r="D70" s="188"/>
      <c r="E70" s="189"/>
      <c r="F70" s="190"/>
      <c r="G70" s="191"/>
      <c r="H70" s="189"/>
      <c r="I70" s="197"/>
      <c r="J70" s="193"/>
      <c r="K70" s="194"/>
      <c r="L70" s="195"/>
      <c r="M70" s="194"/>
      <c r="N70" s="195"/>
      <c r="O70" s="194"/>
      <c r="P70" s="195"/>
      <c r="Q70" s="195"/>
      <c r="R70" s="194"/>
      <c r="S70" s="195"/>
      <c r="T70" s="194"/>
      <c r="U70" s="195"/>
      <c r="V70" s="194"/>
      <c r="W70" s="195"/>
      <c r="X70" s="195"/>
      <c r="Y70" s="194"/>
      <c r="Z70" s="195"/>
      <c r="AA70" s="194"/>
      <c r="AB70" s="195"/>
      <c r="AC70" s="194"/>
      <c r="AD70" s="195"/>
      <c r="AE70" s="195"/>
      <c r="AF70" s="194"/>
      <c r="AG70" s="195"/>
      <c r="AH70" s="194"/>
      <c r="AI70" s="195"/>
      <c r="AJ70" s="195"/>
      <c r="AK70" s="44"/>
      <c r="AL70" s="44"/>
      <c r="AM70" s="196"/>
    </row>
    <row r="71" spans="3:40" ht="14.1" customHeight="1">
      <c r="C71" s="39"/>
      <c r="D71" s="188"/>
      <c r="E71" s="189"/>
      <c r="F71" s="190"/>
      <c r="G71" s="191"/>
      <c r="H71" s="189"/>
      <c r="I71" s="197"/>
      <c r="J71" s="193"/>
      <c r="K71" s="194"/>
      <c r="L71" s="195"/>
      <c r="M71" s="194"/>
      <c r="N71" s="195"/>
      <c r="O71" s="194"/>
      <c r="P71" s="195"/>
      <c r="Q71" s="195"/>
      <c r="R71" s="194"/>
      <c r="S71" s="195"/>
      <c r="T71" s="194"/>
      <c r="U71" s="195"/>
      <c r="V71" s="194"/>
      <c r="W71" s="195"/>
      <c r="X71" s="195"/>
      <c r="Y71" s="194"/>
      <c r="Z71" s="195"/>
      <c r="AA71" s="194"/>
      <c r="AB71" s="195"/>
      <c r="AC71" s="194"/>
      <c r="AD71" s="195"/>
      <c r="AE71" s="195"/>
      <c r="AF71" s="194"/>
      <c r="AG71" s="195"/>
      <c r="AH71" s="194"/>
      <c r="AI71" s="195"/>
      <c r="AJ71" s="195"/>
      <c r="AK71" s="44"/>
      <c r="AL71" s="44"/>
      <c r="AM71" s="196"/>
    </row>
    <row r="72" spans="3:40" ht="14.1" customHeight="1">
      <c r="C72" s="39"/>
      <c r="D72" s="188"/>
      <c r="E72" s="189"/>
      <c r="F72" s="190"/>
      <c r="G72" s="191"/>
      <c r="H72" s="189"/>
      <c r="I72" s="197"/>
      <c r="J72" s="193"/>
      <c r="K72" s="194"/>
      <c r="L72" s="195"/>
      <c r="M72" s="194"/>
      <c r="N72" s="195"/>
      <c r="O72" s="194"/>
      <c r="P72" s="195"/>
      <c r="Q72" s="195"/>
      <c r="R72" s="194"/>
      <c r="S72" s="195"/>
      <c r="T72" s="194"/>
      <c r="U72" s="195"/>
      <c r="V72" s="194"/>
      <c r="W72" s="195"/>
      <c r="X72" s="195"/>
      <c r="Y72" s="194"/>
      <c r="Z72" s="195"/>
      <c r="AA72" s="194"/>
      <c r="AB72" s="195"/>
      <c r="AC72" s="194"/>
      <c r="AD72" s="195"/>
      <c r="AE72" s="195"/>
      <c r="AF72" s="194"/>
      <c r="AG72" s="195"/>
      <c r="AH72" s="194"/>
      <c r="AI72" s="195"/>
      <c r="AJ72" s="195"/>
      <c r="AK72" s="44"/>
      <c r="AL72" s="44"/>
      <c r="AM72" s="196"/>
    </row>
    <row r="73" spans="3:40" ht="14.1" customHeight="1">
      <c r="C73" s="39"/>
      <c r="D73" s="188"/>
      <c r="E73" s="189"/>
      <c r="F73" s="190"/>
      <c r="G73" s="191"/>
      <c r="H73" s="189"/>
      <c r="I73" s="197"/>
      <c r="J73" s="193"/>
      <c r="K73" s="194"/>
      <c r="L73" s="195"/>
      <c r="M73" s="194"/>
      <c r="N73" s="195"/>
      <c r="O73" s="194"/>
      <c r="P73" s="195"/>
      <c r="Q73" s="195"/>
      <c r="R73" s="194"/>
      <c r="S73" s="195"/>
      <c r="T73" s="194"/>
      <c r="U73" s="195"/>
      <c r="V73" s="194"/>
      <c r="W73" s="195"/>
      <c r="X73" s="195"/>
      <c r="Y73" s="194"/>
      <c r="Z73" s="195"/>
      <c r="AA73" s="194"/>
      <c r="AB73" s="195"/>
      <c r="AC73" s="194"/>
      <c r="AD73" s="195"/>
      <c r="AE73" s="195"/>
      <c r="AF73" s="194"/>
      <c r="AG73" s="195"/>
      <c r="AH73" s="194"/>
      <c r="AI73" s="195"/>
      <c r="AJ73" s="195"/>
      <c r="AK73" s="44"/>
      <c r="AL73" s="44"/>
      <c r="AM73" s="196"/>
    </row>
    <row r="74" spans="3:40" ht="14.1" customHeight="1">
      <c r="C74" s="39"/>
      <c r="D74" s="188"/>
      <c r="E74" s="189"/>
      <c r="F74" s="190"/>
      <c r="G74" s="191"/>
      <c r="H74" s="189"/>
      <c r="I74" s="197"/>
      <c r="J74" s="193"/>
      <c r="K74" s="194"/>
      <c r="L74" s="195"/>
      <c r="M74" s="194"/>
      <c r="N74" s="195"/>
      <c r="O74" s="194"/>
      <c r="P74" s="195"/>
      <c r="Q74" s="195"/>
      <c r="R74" s="194"/>
      <c r="S74" s="195"/>
      <c r="T74" s="194"/>
      <c r="U74" s="195"/>
      <c r="V74" s="194"/>
      <c r="W74" s="195"/>
      <c r="X74" s="195"/>
      <c r="Y74" s="194"/>
      <c r="Z74" s="195"/>
      <c r="AA74" s="194"/>
      <c r="AB74" s="195"/>
      <c r="AC74" s="194"/>
      <c r="AD74" s="195"/>
      <c r="AE74" s="195"/>
      <c r="AF74" s="194"/>
      <c r="AG74" s="195"/>
      <c r="AH74" s="194"/>
      <c r="AI74" s="195"/>
      <c r="AJ74" s="195"/>
      <c r="AK74" s="44"/>
      <c r="AL74" s="44"/>
      <c r="AM74" s="196"/>
    </row>
    <row r="75" spans="3:40" ht="14.1" customHeight="1">
      <c r="C75" s="39"/>
      <c r="D75" s="188"/>
      <c r="E75" s="189"/>
      <c r="F75" s="190"/>
      <c r="G75" s="191"/>
      <c r="H75" s="189"/>
      <c r="I75" s="192"/>
      <c r="J75" s="193"/>
      <c r="K75" s="194"/>
      <c r="L75" s="195"/>
      <c r="M75" s="194"/>
      <c r="N75" s="195"/>
      <c r="O75" s="194"/>
      <c r="P75" s="195"/>
      <c r="Q75" s="195"/>
      <c r="R75" s="194"/>
      <c r="S75" s="195"/>
      <c r="T75" s="194"/>
      <c r="U75" s="195"/>
      <c r="V75" s="194"/>
      <c r="W75" s="195"/>
      <c r="X75" s="195"/>
      <c r="Y75" s="194"/>
      <c r="Z75" s="195"/>
      <c r="AA75" s="194"/>
      <c r="AB75" s="195"/>
      <c r="AC75" s="194"/>
      <c r="AD75" s="195"/>
      <c r="AE75" s="195"/>
      <c r="AF75" s="194"/>
      <c r="AG75" s="195"/>
      <c r="AH75" s="194"/>
      <c r="AI75" s="195"/>
      <c r="AJ75" s="195"/>
      <c r="AK75" s="44"/>
      <c r="AL75" s="44"/>
      <c r="AM75" s="196"/>
    </row>
    <row r="76" spans="3:40" ht="14.1" customHeight="1">
      <c r="C76" s="39"/>
      <c r="D76" s="188"/>
      <c r="E76" s="189"/>
      <c r="F76" s="190"/>
      <c r="G76" s="191"/>
      <c r="H76" s="189"/>
      <c r="I76" s="192"/>
      <c r="J76" s="193"/>
      <c r="K76" s="194"/>
      <c r="L76" s="195"/>
      <c r="M76" s="194"/>
      <c r="N76" s="195"/>
      <c r="O76" s="194"/>
      <c r="P76" s="195"/>
      <c r="Q76" s="195"/>
      <c r="R76" s="194"/>
      <c r="S76" s="195"/>
      <c r="T76" s="194"/>
      <c r="U76" s="195"/>
      <c r="V76" s="194"/>
      <c r="W76" s="195"/>
      <c r="X76" s="195"/>
      <c r="Y76" s="194"/>
      <c r="Z76" s="195"/>
      <c r="AA76" s="194"/>
      <c r="AB76" s="195"/>
      <c r="AC76" s="194"/>
      <c r="AD76" s="195"/>
      <c r="AE76" s="195"/>
      <c r="AF76" s="194"/>
      <c r="AG76" s="195"/>
      <c r="AH76" s="194"/>
      <c r="AI76" s="195"/>
      <c r="AJ76" s="195"/>
      <c r="AK76" s="44"/>
      <c r="AL76" s="44"/>
      <c r="AM76" s="196"/>
    </row>
    <row r="77" spans="3:40">
      <c r="C77" s="39"/>
      <c r="D77" s="188"/>
      <c r="E77" s="188"/>
      <c r="F77" s="199"/>
      <c r="G77" s="191"/>
      <c r="H77" s="189"/>
      <c r="I77" s="200"/>
      <c r="J77" s="201"/>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44"/>
      <c r="AL77" s="44"/>
      <c r="AM77" s="196"/>
    </row>
    <row r="78" spans="3:40">
      <c r="C78" s="39"/>
      <c r="D78" s="188"/>
      <c r="E78" s="188"/>
      <c r="F78" s="202"/>
      <c r="G78" s="203"/>
      <c r="H78" s="189"/>
      <c r="I78" s="188"/>
      <c r="J78" s="204"/>
      <c r="K78" s="204"/>
      <c r="L78" s="195"/>
      <c r="M78" s="204"/>
      <c r="N78" s="195"/>
      <c r="O78" s="204"/>
      <c r="P78" s="195"/>
      <c r="Q78" s="195"/>
      <c r="R78" s="204"/>
      <c r="S78" s="195"/>
      <c r="T78" s="204"/>
      <c r="U78" s="195"/>
      <c r="V78" s="204"/>
      <c r="W78" s="195"/>
      <c r="X78" s="195"/>
      <c r="Y78" s="204"/>
      <c r="Z78" s="195"/>
      <c r="AA78" s="204"/>
      <c r="AB78" s="195"/>
      <c r="AC78" s="204"/>
      <c r="AD78" s="195"/>
      <c r="AE78" s="195"/>
      <c r="AF78" s="204"/>
      <c r="AG78" s="195"/>
      <c r="AH78" s="204"/>
      <c r="AI78" s="195"/>
      <c r="AJ78" s="195"/>
      <c r="AK78" s="44"/>
      <c r="AL78" s="44"/>
      <c r="AM78" s="196"/>
    </row>
    <row r="79" spans="3:40">
      <c r="C79" s="39"/>
      <c r="D79" s="188"/>
      <c r="E79" s="188"/>
      <c r="F79" s="202"/>
      <c r="G79" s="203"/>
      <c r="H79" s="189"/>
      <c r="I79" s="188"/>
      <c r="J79" s="204"/>
      <c r="K79" s="204"/>
      <c r="L79" s="195"/>
      <c r="M79" s="204"/>
      <c r="N79" s="195"/>
      <c r="O79" s="204"/>
      <c r="P79" s="195"/>
      <c r="Q79" s="195"/>
      <c r="R79" s="204"/>
      <c r="S79" s="195"/>
      <c r="T79" s="204"/>
      <c r="U79" s="195"/>
      <c r="V79" s="204"/>
      <c r="W79" s="195"/>
      <c r="X79" s="195"/>
      <c r="Y79" s="204"/>
      <c r="Z79" s="195"/>
      <c r="AA79" s="204"/>
      <c r="AB79" s="195"/>
      <c r="AC79" s="204"/>
      <c r="AD79" s="195"/>
      <c r="AE79" s="195"/>
      <c r="AF79" s="204"/>
      <c r="AG79" s="195"/>
      <c r="AH79" s="204"/>
      <c r="AI79" s="195"/>
      <c r="AJ79" s="195"/>
      <c r="AK79" s="44"/>
      <c r="AL79" s="44"/>
      <c r="AM79" s="196"/>
    </row>
    <row r="80" spans="3:40">
      <c r="C80" s="39"/>
      <c r="D80" s="188"/>
      <c r="E80" s="188"/>
      <c r="F80" s="202"/>
      <c r="G80" s="203"/>
      <c r="H80" s="189"/>
      <c r="I80" s="188"/>
      <c r="J80" s="204"/>
      <c r="K80" s="204"/>
      <c r="L80" s="195"/>
      <c r="M80" s="204"/>
      <c r="N80" s="195"/>
      <c r="O80" s="204"/>
      <c r="P80" s="195"/>
      <c r="Q80" s="195"/>
      <c r="R80" s="204"/>
      <c r="S80" s="195"/>
      <c r="T80" s="204"/>
      <c r="U80" s="195"/>
      <c r="V80" s="204"/>
      <c r="W80" s="195"/>
      <c r="X80" s="195"/>
      <c r="Y80" s="204"/>
      <c r="Z80" s="195"/>
      <c r="AA80" s="204"/>
      <c r="AB80" s="195"/>
      <c r="AC80" s="204"/>
      <c r="AD80" s="195"/>
      <c r="AE80" s="195"/>
      <c r="AF80" s="204"/>
      <c r="AG80" s="195"/>
      <c r="AH80" s="204"/>
      <c r="AI80" s="195"/>
      <c r="AJ80" s="195"/>
      <c r="AK80" s="44"/>
      <c r="AL80" s="44"/>
      <c r="AM80" s="196"/>
    </row>
    <row r="81" spans="3:39">
      <c r="C81" s="39"/>
      <c r="D81" s="188"/>
      <c r="E81" s="188"/>
      <c r="F81" s="202"/>
      <c r="G81" s="203"/>
      <c r="H81" s="189"/>
      <c r="I81" s="188"/>
      <c r="J81" s="204"/>
      <c r="K81" s="204"/>
      <c r="L81" s="205"/>
      <c r="M81" s="204"/>
      <c r="N81" s="205"/>
      <c r="O81" s="204"/>
      <c r="P81" s="205"/>
      <c r="Q81" s="205"/>
      <c r="R81" s="204"/>
      <c r="S81" s="205"/>
      <c r="T81" s="204"/>
      <c r="U81" s="205"/>
      <c r="V81" s="204"/>
      <c r="W81" s="205"/>
      <c r="X81" s="205"/>
      <c r="Y81" s="204"/>
      <c r="Z81" s="205"/>
      <c r="AA81" s="204"/>
      <c r="AB81" s="205"/>
      <c r="AC81" s="204"/>
      <c r="AD81" s="205"/>
      <c r="AE81" s="205"/>
      <c r="AF81" s="204"/>
      <c r="AG81" s="205"/>
      <c r="AH81" s="204"/>
      <c r="AI81" s="205"/>
      <c r="AJ81" s="205"/>
      <c r="AK81" s="44"/>
      <c r="AL81" s="44"/>
      <c r="AM81" s="196"/>
    </row>
    <row r="82" spans="3:39" s="16" customFormat="1">
      <c r="C82" s="40"/>
      <c r="D82" s="151"/>
      <c r="E82" s="152"/>
      <c r="F82" s="152"/>
      <c r="G82" s="152"/>
      <c r="H82" s="152"/>
      <c r="I82" s="151"/>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206"/>
    </row>
    <row r="83" spans="3:39" s="16" customFormat="1">
      <c r="D83" s="148"/>
      <c r="E83" s="207"/>
      <c r="F83" s="207"/>
      <c r="G83" s="207"/>
      <c r="H83" s="207"/>
      <c r="I83" s="148"/>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row>
    <row r="84" spans="3:39" s="16" customFormat="1">
      <c r="D84" s="148"/>
      <c r="E84" s="207"/>
      <c r="F84" s="207"/>
      <c r="G84" s="207"/>
      <c r="H84" s="207"/>
      <c r="I84" s="148"/>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row>
    <row r="85" spans="3:39" s="16" customFormat="1">
      <c r="D85" s="148"/>
      <c r="E85" s="207"/>
      <c r="F85" s="207"/>
      <c r="G85" s="207"/>
      <c r="H85" s="207"/>
      <c r="I85" s="148"/>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row>
    <row r="86" spans="3:39" s="16" customFormat="1">
      <c r="D86" s="148"/>
      <c r="E86" s="207"/>
      <c r="F86" s="207"/>
      <c r="G86" s="207"/>
      <c r="H86" s="207"/>
      <c r="I86" s="148"/>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row>
    <row r="87" spans="3:39" s="16" customFormat="1">
      <c r="D87" s="148"/>
      <c r="E87" s="207"/>
      <c r="F87" s="207"/>
      <c r="G87" s="207"/>
      <c r="H87" s="207"/>
      <c r="I87" s="148"/>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row>
    <row r="88" spans="3:39" s="16" customFormat="1">
      <c r="D88" s="148"/>
      <c r="E88" s="207"/>
      <c r="F88" s="207"/>
      <c r="G88" s="207"/>
      <c r="H88" s="207"/>
      <c r="I88" s="148"/>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row>
    <row r="89" spans="3:39" s="16" customFormat="1">
      <c r="D89" s="148"/>
      <c r="E89" s="207"/>
      <c r="F89" s="207"/>
      <c r="G89" s="207"/>
      <c r="H89" s="207"/>
      <c r="I89" s="148"/>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row>
    <row r="90" spans="3:39" s="16" customFormat="1">
      <c r="D90" s="148"/>
      <c r="E90" s="207"/>
      <c r="F90" s="207"/>
      <c r="G90" s="207"/>
      <c r="H90" s="207"/>
      <c r="I90" s="148"/>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row>
    <row r="91" spans="3:39" s="16" customFormat="1">
      <c r="D91" s="148"/>
      <c r="E91" s="207"/>
      <c r="F91" s="207"/>
      <c r="G91" s="207"/>
      <c r="H91" s="207"/>
      <c r="I91" s="148"/>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row>
    <row r="92" spans="3:39" s="16" customFormat="1">
      <c r="D92" s="148"/>
      <c r="E92" s="207"/>
      <c r="F92" s="207"/>
      <c r="G92" s="207"/>
      <c r="H92" s="207"/>
      <c r="I92" s="148"/>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row>
    <row r="93" spans="3:39" s="16" customFormat="1">
      <c r="D93" s="148"/>
      <c r="E93" s="207"/>
      <c r="F93" s="207"/>
      <c r="G93" s="207"/>
      <c r="H93" s="207"/>
      <c r="I93" s="148"/>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row>
    <row r="94" spans="3:39" s="16" customFormat="1">
      <c r="D94" s="148"/>
      <c r="E94" s="207"/>
      <c r="F94" s="207"/>
      <c r="G94" s="207"/>
      <c r="H94" s="207"/>
      <c r="I94" s="148"/>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row>
    <row r="95" spans="3:39" s="16" customFormat="1">
      <c r="D95" s="148"/>
      <c r="E95" s="207"/>
      <c r="F95" s="207"/>
      <c r="G95" s="207"/>
      <c r="H95" s="207"/>
      <c r="I95" s="148"/>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row>
    <row r="96" spans="3:39" s="16" customFormat="1">
      <c r="D96" s="148"/>
      <c r="E96" s="207"/>
      <c r="F96" s="207"/>
      <c r="G96" s="207"/>
      <c r="H96" s="207"/>
      <c r="I96" s="148"/>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row>
    <row r="97" spans="4:36" s="16" customFormat="1">
      <c r="D97" s="148"/>
      <c r="E97" s="207"/>
      <c r="F97" s="207"/>
      <c r="G97" s="207"/>
      <c r="H97" s="207"/>
      <c r="I97" s="148"/>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row>
    <row r="98" spans="4:36" s="16" customFormat="1">
      <c r="D98" s="148"/>
      <c r="E98" s="207"/>
      <c r="F98" s="207"/>
      <c r="G98" s="207"/>
      <c r="H98" s="207"/>
      <c r="I98" s="148"/>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row>
    <row r="99" spans="4:36" s="16" customFormat="1">
      <c r="D99" s="148"/>
      <c r="E99" s="207"/>
      <c r="F99" s="207"/>
      <c r="G99" s="207"/>
      <c r="H99" s="207"/>
      <c r="I99" s="148"/>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row>
    <row r="100" spans="4:36" s="16" customFormat="1">
      <c r="D100" s="148"/>
      <c r="E100" s="207"/>
      <c r="F100" s="207"/>
      <c r="G100" s="207"/>
      <c r="H100" s="207"/>
      <c r="I100" s="148"/>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row>
    <row r="101" spans="4:36" s="16" customFormat="1">
      <c r="D101" s="148"/>
      <c r="E101" s="207"/>
      <c r="F101" s="207"/>
      <c r="G101" s="207"/>
      <c r="H101" s="207"/>
      <c r="I101" s="148"/>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row>
    <row r="102" spans="4:36" s="16" customFormat="1">
      <c r="D102" s="148"/>
      <c r="E102" s="207"/>
      <c r="F102" s="207"/>
      <c r="G102" s="207"/>
      <c r="H102" s="207"/>
      <c r="I102" s="148"/>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row>
    <row r="103" spans="4:36" s="16" customFormat="1">
      <c r="D103" s="148"/>
      <c r="E103" s="207"/>
      <c r="F103" s="207"/>
      <c r="G103" s="207"/>
      <c r="H103" s="207"/>
      <c r="I103" s="148"/>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row>
    <row r="104" spans="4:36" s="16" customFormat="1">
      <c r="D104" s="148"/>
      <c r="E104" s="207"/>
      <c r="F104" s="207"/>
      <c r="G104" s="207"/>
      <c r="H104" s="207"/>
      <c r="I104" s="148"/>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row>
    <row r="105" spans="4:36" s="16" customFormat="1">
      <c r="D105" s="148"/>
      <c r="E105" s="207"/>
      <c r="F105" s="207"/>
      <c r="G105" s="207"/>
      <c r="H105" s="207"/>
      <c r="I105" s="148"/>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row>
    <row r="106" spans="4:36" s="16" customFormat="1">
      <c r="D106" s="148"/>
      <c r="E106" s="207"/>
      <c r="F106" s="207"/>
      <c r="G106" s="207"/>
      <c r="H106" s="207"/>
      <c r="I106" s="148"/>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row>
    <row r="107" spans="4:36" s="16" customFormat="1">
      <c r="D107" s="148"/>
      <c r="E107" s="207"/>
      <c r="F107" s="207"/>
      <c r="G107" s="207"/>
      <c r="H107" s="207"/>
      <c r="I107" s="148"/>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row>
    <row r="108" spans="4:36" s="16" customFormat="1">
      <c r="D108" s="148"/>
      <c r="E108" s="207"/>
      <c r="F108" s="207"/>
      <c r="G108" s="207"/>
      <c r="H108" s="207"/>
      <c r="I108" s="148"/>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row>
    <row r="109" spans="4:36" s="16" customFormat="1">
      <c r="D109" s="148"/>
      <c r="E109" s="207"/>
      <c r="F109" s="207"/>
      <c r="G109" s="207"/>
      <c r="H109" s="207"/>
      <c r="I109" s="148"/>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row>
    <row r="110" spans="4:36" s="16" customFormat="1">
      <c r="D110" s="148"/>
      <c r="E110" s="207"/>
      <c r="F110" s="207"/>
      <c r="G110" s="207"/>
      <c r="H110" s="207"/>
      <c r="I110" s="148"/>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row>
    <row r="111" spans="4:36" s="16" customFormat="1">
      <c r="D111" s="148"/>
      <c r="E111" s="207"/>
      <c r="F111" s="207"/>
      <c r="G111" s="207"/>
      <c r="H111" s="207"/>
      <c r="I111" s="148"/>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row>
    <row r="112" spans="4:36" s="16" customFormat="1">
      <c r="D112" s="148"/>
      <c r="E112" s="207"/>
      <c r="F112" s="207"/>
      <c r="G112" s="207"/>
      <c r="H112" s="207"/>
      <c r="I112" s="148"/>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row>
    <row r="113" spans="4:36" s="16" customFormat="1">
      <c r="D113" s="148"/>
      <c r="E113" s="207"/>
      <c r="F113" s="207"/>
      <c r="G113" s="207"/>
      <c r="H113" s="207"/>
      <c r="I113" s="148"/>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row>
    <row r="114" spans="4:36" s="16" customFormat="1">
      <c r="D114" s="148"/>
      <c r="E114" s="207"/>
      <c r="F114" s="207"/>
      <c r="G114" s="207"/>
      <c r="H114" s="207"/>
      <c r="I114" s="148"/>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row>
    <row r="115" spans="4:36" s="16" customFormat="1">
      <c r="D115" s="148"/>
      <c r="E115" s="207"/>
      <c r="F115" s="207"/>
      <c r="G115" s="207"/>
      <c r="H115" s="207"/>
      <c r="I115" s="148"/>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row>
    <row r="116" spans="4:36" s="16" customFormat="1">
      <c r="D116" s="148"/>
      <c r="E116" s="207"/>
      <c r="F116" s="207"/>
      <c r="G116" s="207"/>
      <c r="H116" s="207"/>
      <c r="I116" s="148"/>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row>
    <row r="117" spans="4:36" s="16" customFormat="1">
      <c r="D117" s="148"/>
      <c r="E117" s="207"/>
      <c r="F117" s="207"/>
      <c r="G117" s="207"/>
      <c r="H117" s="207"/>
      <c r="I117" s="148"/>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row>
    <row r="118" spans="4:36" s="16" customFormat="1">
      <c r="D118" s="148"/>
      <c r="E118" s="207"/>
      <c r="F118" s="207"/>
      <c r="G118" s="207"/>
      <c r="H118" s="207"/>
      <c r="I118" s="148"/>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row>
    <row r="119" spans="4:36" s="16" customFormat="1">
      <c r="D119" s="148"/>
      <c r="E119" s="207"/>
      <c r="F119" s="207"/>
      <c r="G119" s="207"/>
      <c r="H119" s="207"/>
      <c r="I119" s="148"/>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row>
    <row r="120" spans="4:36" s="16" customFormat="1">
      <c r="D120" s="148"/>
      <c r="E120" s="207"/>
      <c r="F120" s="207"/>
      <c r="G120" s="207"/>
      <c r="H120" s="207"/>
      <c r="I120" s="148"/>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row>
    <row r="121" spans="4:36" s="16" customFormat="1">
      <c r="D121" s="148"/>
      <c r="E121" s="207"/>
      <c r="F121" s="207"/>
      <c r="G121" s="207"/>
      <c r="H121" s="207"/>
      <c r="I121" s="148"/>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row>
    <row r="122" spans="4:36" s="16" customFormat="1">
      <c r="D122" s="148"/>
      <c r="E122" s="207"/>
      <c r="F122" s="207"/>
      <c r="G122" s="207"/>
      <c r="H122" s="207"/>
      <c r="I122" s="148"/>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row>
    <row r="123" spans="4:36" s="16" customFormat="1">
      <c r="D123" s="148"/>
      <c r="E123" s="207"/>
      <c r="F123" s="207"/>
      <c r="G123" s="207"/>
      <c r="H123" s="207"/>
      <c r="I123" s="148"/>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row>
    <row r="124" spans="4:36" s="16" customFormat="1">
      <c r="D124" s="148"/>
      <c r="E124" s="207"/>
      <c r="F124" s="207"/>
      <c r="G124" s="207"/>
      <c r="H124" s="207"/>
      <c r="I124" s="148"/>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row>
    <row r="125" spans="4:36" s="16" customFormat="1">
      <c r="D125" s="148"/>
      <c r="E125" s="207"/>
      <c r="F125" s="207"/>
      <c r="G125" s="207"/>
      <c r="H125" s="207"/>
      <c r="I125" s="148"/>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row>
    <row r="126" spans="4:36" s="16" customFormat="1">
      <c r="D126" s="148"/>
      <c r="E126" s="207"/>
      <c r="F126" s="207"/>
      <c r="G126" s="207"/>
      <c r="H126" s="207"/>
      <c r="I126" s="148"/>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row>
    <row r="127" spans="4:36" s="16" customFormat="1">
      <c r="D127" s="148"/>
      <c r="E127" s="207"/>
      <c r="F127" s="207"/>
      <c r="G127" s="207"/>
      <c r="H127" s="207"/>
      <c r="I127" s="148"/>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row>
    <row r="128" spans="4:36" s="16" customFormat="1">
      <c r="D128" s="148"/>
      <c r="E128" s="207"/>
      <c r="F128" s="207"/>
      <c r="G128" s="207"/>
      <c r="H128" s="207"/>
      <c r="I128" s="148"/>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row>
    <row r="129" spans="4:36" s="16" customFormat="1">
      <c r="D129" s="148"/>
      <c r="E129" s="207"/>
      <c r="F129" s="207"/>
      <c r="G129" s="207"/>
      <c r="H129" s="207"/>
      <c r="I129" s="148"/>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row>
    <row r="130" spans="4:36" s="16" customFormat="1">
      <c r="D130" s="148"/>
      <c r="E130" s="207"/>
      <c r="F130" s="207"/>
      <c r="G130" s="207"/>
      <c r="H130" s="207"/>
      <c r="I130" s="148"/>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row>
    <row r="131" spans="4:36" s="16" customFormat="1">
      <c r="D131" s="148"/>
      <c r="E131" s="207"/>
      <c r="F131" s="207"/>
      <c r="G131" s="207"/>
      <c r="H131" s="207"/>
      <c r="I131" s="148"/>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row>
    <row r="132" spans="4:36" s="16" customFormat="1">
      <c r="D132" s="148"/>
      <c r="E132" s="207"/>
      <c r="F132" s="207"/>
      <c r="G132" s="207"/>
      <c r="H132" s="207"/>
      <c r="I132" s="148"/>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row>
    <row r="133" spans="4:36" s="16" customFormat="1">
      <c r="D133" s="148"/>
      <c r="E133" s="207"/>
      <c r="F133" s="207"/>
      <c r="G133" s="207"/>
      <c r="H133" s="207"/>
      <c r="I133" s="148"/>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row>
    <row r="134" spans="4:36" s="16" customFormat="1">
      <c r="D134" s="148"/>
      <c r="E134" s="207"/>
      <c r="F134" s="207"/>
      <c r="G134" s="207"/>
      <c r="H134" s="207"/>
      <c r="I134" s="148"/>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row>
    <row r="135" spans="4:36" s="16" customFormat="1">
      <c r="D135" s="148"/>
      <c r="E135" s="207"/>
      <c r="F135" s="207"/>
      <c r="G135" s="207"/>
      <c r="H135" s="207"/>
      <c r="I135" s="148"/>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row>
    <row r="136" spans="4:36" s="16" customFormat="1">
      <c r="D136" s="148"/>
      <c r="E136" s="207"/>
      <c r="F136" s="207"/>
      <c r="G136" s="207"/>
      <c r="H136" s="207"/>
      <c r="I136" s="148"/>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row>
    <row r="137" spans="4:36" s="16" customFormat="1">
      <c r="D137" s="148"/>
      <c r="E137" s="207"/>
      <c r="F137" s="207"/>
      <c r="G137" s="207"/>
      <c r="H137" s="207"/>
      <c r="I137" s="148"/>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row>
    <row r="138" spans="4:36" s="16" customFormat="1">
      <c r="D138" s="148"/>
      <c r="E138" s="207"/>
      <c r="F138" s="207"/>
      <c r="G138" s="207"/>
      <c r="H138" s="207"/>
      <c r="I138" s="148"/>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row>
    <row r="139" spans="4:36" s="16" customFormat="1">
      <c r="D139" s="148"/>
      <c r="E139" s="207"/>
      <c r="F139" s="207"/>
      <c r="G139" s="207"/>
      <c r="H139" s="207"/>
      <c r="I139" s="148"/>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row>
    <row r="140" spans="4:36" s="16" customFormat="1">
      <c r="D140" s="148"/>
      <c r="E140" s="207"/>
      <c r="F140" s="207"/>
      <c r="G140" s="207"/>
      <c r="H140" s="207"/>
      <c r="I140" s="148"/>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row>
    <row r="141" spans="4:36" s="16" customFormat="1">
      <c r="D141" s="148"/>
      <c r="E141" s="207"/>
      <c r="F141" s="207"/>
      <c r="G141" s="207"/>
      <c r="H141" s="207"/>
      <c r="I141" s="148"/>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row>
    <row r="142" spans="4:36" s="16" customFormat="1">
      <c r="D142" s="148"/>
      <c r="E142" s="207"/>
      <c r="F142" s="207"/>
      <c r="G142" s="207"/>
      <c r="H142" s="207"/>
      <c r="I142" s="148"/>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row>
    <row r="143" spans="4:36" s="16" customFormat="1">
      <c r="D143" s="148"/>
      <c r="E143" s="207"/>
      <c r="F143" s="207"/>
      <c r="G143" s="207"/>
      <c r="H143" s="207"/>
      <c r="I143" s="148"/>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row>
    <row r="144" spans="4:36" s="16" customFormat="1">
      <c r="D144" s="148"/>
      <c r="E144" s="207"/>
      <c r="F144" s="207"/>
      <c r="G144" s="207"/>
      <c r="H144" s="207"/>
      <c r="I144" s="148"/>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row>
    <row r="145" spans="4:36" s="16" customFormat="1">
      <c r="D145" s="148"/>
      <c r="E145" s="207"/>
      <c r="F145" s="207"/>
      <c r="G145" s="207"/>
      <c r="H145" s="207"/>
      <c r="I145" s="148"/>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row>
    <row r="146" spans="4:36" s="16" customFormat="1">
      <c r="D146" s="148"/>
      <c r="E146" s="207"/>
      <c r="F146" s="207"/>
      <c r="G146" s="207"/>
      <c r="H146" s="207"/>
      <c r="I146" s="148"/>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row>
    <row r="147" spans="4:36" s="16" customFormat="1">
      <c r="D147" s="148"/>
      <c r="E147" s="207"/>
      <c r="F147" s="207"/>
      <c r="G147" s="207"/>
      <c r="H147" s="207"/>
      <c r="I147" s="148"/>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row>
    <row r="148" spans="4:36" s="16" customFormat="1">
      <c r="D148" s="148"/>
      <c r="E148" s="207"/>
      <c r="F148" s="207"/>
      <c r="G148" s="207"/>
      <c r="H148" s="207"/>
      <c r="I148" s="148"/>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row>
    <row r="149" spans="4:36" s="16" customFormat="1">
      <c r="D149" s="148"/>
      <c r="E149" s="207"/>
      <c r="F149" s="207"/>
      <c r="G149" s="207"/>
      <c r="H149" s="207"/>
      <c r="I149" s="148"/>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row>
    <row r="150" spans="4:36" s="16" customFormat="1">
      <c r="D150" s="148"/>
      <c r="E150" s="207"/>
      <c r="F150" s="207"/>
      <c r="G150" s="207"/>
      <c r="H150" s="207"/>
      <c r="I150" s="148"/>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row>
    <row r="151" spans="4:36" s="16" customFormat="1">
      <c r="D151" s="148"/>
      <c r="E151" s="207"/>
      <c r="F151" s="207"/>
      <c r="G151" s="207"/>
      <c r="H151" s="207"/>
      <c r="I151" s="148"/>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row>
    <row r="152" spans="4:36" s="16" customFormat="1">
      <c r="D152" s="148"/>
      <c r="E152" s="207"/>
      <c r="F152" s="207"/>
      <c r="G152" s="207"/>
      <c r="H152" s="207"/>
      <c r="I152" s="148"/>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row>
    <row r="153" spans="4:36" s="16" customFormat="1">
      <c r="D153" s="148"/>
      <c r="E153" s="207"/>
      <c r="F153" s="207"/>
      <c r="G153" s="207"/>
      <c r="H153" s="207"/>
      <c r="I153" s="148"/>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row>
    <row r="154" spans="4:36" s="16" customFormat="1">
      <c r="D154" s="148"/>
      <c r="E154" s="207"/>
      <c r="F154" s="207"/>
      <c r="G154" s="207"/>
      <c r="H154" s="207"/>
      <c r="I154" s="148"/>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row>
    <row r="155" spans="4:36" s="16" customFormat="1">
      <c r="D155" s="148"/>
      <c r="E155" s="207"/>
      <c r="F155" s="207"/>
      <c r="G155" s="207"/>
      <c r="H155" s="207"/>
      <c r="I155" s="148"/>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row>
    <row r="156" spans="4:36" s="16" customFormat="1">
      <c r="D156" s="148"/>
      <c r="E156" s="207"/>
      <c r="F156" s="207"/>
      <c r="G156" s="207"/>
      <c r="H156" s="207"/>
      <c r="I156" s="148"/>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row>
    <row r="157" spans="4:36" s="16" customFormat="1">
      <c r="D157" s="148"/>
      <c r="E157" s="207"/>
      <c r="F157" s="207"/>
      <c r="G157" s="207"/>
      <c r="H157" s="207"/>
      <c r="I157" s="148"/>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row>
    <row r="158" spans="4:36" s="16" customFormat="1">
      <c r="D158" s="148"/>
      <c r="E158" s="207"/>
      <c r="F158" s="207"/>
      <c r="G158" s="207"/>
      <c r="H158" s="207"/>
      <c r="I158" s="148"/>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row>
    <row r="159" spans="4:36" s="16" customFormat="1">
      <c r="D159" s="148"/>
      <c r="E159" s="207"/>
      <c r="F159" s="207"/>
      <c r="G159" s="207"/>
      <c r="H159" s="207"/>
      <c r="I159" s="148"/>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row>
    <row r="160" spans="4:36" s="16" customFormat="1">
      <c r="D160" s="148"/>
      <c r="E160" s="207"/>
      <c r="F160" s="207"/>
      <c r="G160" s="207"/>
      <c r="H160" s="207"/>
      <c r="I160" s="148"/>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row>
    <row r="161" spans="4:36" s="16" customFormat="1">
      <c r="D161" s="148"/>
      <c r="E161" s="207"/>
      <c r="F161" s="207"/>
      <c r="G161" s="207"/>
      <c r="H161" s="207"/>
      <c r="I161" s="148"/>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row>
    <row r="162" spans="4:36" s="16" customFormat="1">
      <c r="D162" s="148"/>
      <c r="E162" s="207"/>
      <c r="F162" s="207"/>
      <c r="G162" s="207"/>
      <c r="H162" s="207"/>
      <c r="I162" s="148"/>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row>
    <row r="163" spans="4:36" s="16" customFormat="1">
      <c r="D163" s="148"/>
      <c r="E163" s="207"/>
      <c r="F163" s="207"/>
      <c r="G163" s="207"/>
      <c r="H163" s="207"/>
      <c r="I163" s="148"/>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row>
    <row r="164" spans="4:36" s="16" customFormat="1">
      <c r="D164" s="148"/>
      <c r="E164" s="207"/>
      <c r="F164" s="207"/>
      <c r="G164" s="207"/>
      <c r="H164" s="207"/>
      <c r="I164" s="148"/>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row>
    <row r="165" spans="4:36" s="16" customFormat="1">
      <c r="D165" s="148"/>
      <c r="E165" s="207"/>
      <c r="F165" s="207"/>
      <c r="G165" s="207"/>
      <c r="H165" s="207"/>
      <c r="I165" s="148"/>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row>
    <row r="166" spans="4:36" s="16" customFormat="1">
      <c r="D166" s="148"/>
      <c r="E166" s="207"/>
      <c r="F166" s="207"/>
      <c r="G166" s="207"/>
      <c r="H166" s="207"/>
      <c r="I166" s="148"/>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row>
    <row r="167" spans="4:36" s="16" customFormat="1">
      <c r="D167" s="148"/>
      <c r="E167" s="207"/>
      <c r="F167" s="207"/>
      <c r="G167" s="207"/>
      <c r="H167" s="207"/>
      <c r="I167" s="148"/>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row>
    <row r="168" spans="4:36" s="16" customFormat="1">
      <c r="D168" s="148"/>
      <c r="E168" s="207"/>
      <c r="F168" s="207"/>
      <c r="G168" s="207"/>
      <c r="H168" s="207"/>
      <c r="I168" s="148"/>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row>
    <row r="169" spans="4:36" s="16" customFormat="1">
      <c r="D169" s="148"/>
      <c r="E169" s="207"/>
      <c r="F169" s="207"/>
      <c r="G169" s="207"/>
      <c r="H169" s="207"/>
      <c r="I169" s="148"/>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row>
    <row r="170" spans="4:36" s="16" customFormat="1">
      <c r="D170" s="148"/>
      <c r="E170" s="207"/>
      <c r="F170" s="207"/>
      <c r="G170" s="207"/>
      <c r="H170" s="207"/>
      <c r="I170" s="148"/>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row>
    <row r="171" spans="4:36" s="16" customFormat="1">
      <c r="D171" s="148"/>
      <c r="E171" s="207"/>
      <c r="F171" s="207"/>
      <c r="G171" s="207"/>
      <c r="H171" s="207"/>
      <c r="I171" s="148"/>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row>
    <row r="172" spans="4:36" s="16" customFormat="1">
      <c r="D172" s="148"/>
      <c r="E172" s="207"/>
      <c r="F172" s="207"/>
      <c r="G172" s="207"/>
      <c r="H172" s="207"/>
      <c r="I172" s="148"/>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row>
    <row r="173" spans="4:36" s="16" customFormat="1">
      <c r="D173" s="148"/>
      <c r="E173" s="207"/>
      <c r="F173" s="207"/>
      <c r="G173" s="207"/>
      <c r="H173" s="207"/>
      <c r="I173" s="148"/>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row>
    <row r="174" spans="4:36" s="16" customFormat="1">
      <c r="D174" s="148"/>
      <c r="E174" s="207"/>
      <c r="F174" s="207"/>
      <c r="G174" s="207"/>
      <c r="H174" s="207"/>
      <c r="I174" s="148"/>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row>
    <row r="175" spans="4:36" s="16" customFormat="1">
      <c r="D175" s="148"/>
      <c r="E175" s="207"/>
      <c r="F175" s="207"/>
      <c r="G175" s="207"/>
      <c r="H175" s="207"/>
      <c r="I175" s="148"/>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row>
    <row r="176" spans="4:36" s="16" customFormat="1">
      <c r="D176" s="148"/>
      <c r="E176" s="207"/>
      <c r="F176" s="207"/>
      <c r="G176" s="207"/>
      <c r="H176" s="207"/>
      <c r="I176" s="148"/>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row>
    <row r="177" spans="4:36" s="16" customFormat="1">
      <c r="D177" s="148"/>
      <c r="E177" s="207"/>
      <c r="F177" s="207"/>
      <c r="G177" s="207"/>
      <c r="H177" s="207"/>
      <c r="I177" s="148"/>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row>
    <row r="178" spans="4:36" s="16" customFormat="1">
      <c r="D178" s="148"/>
      <c r="E178" s="207"/>
      <c r="F178" s="207"/>
      <c r="G178" s="207"/>
      <c r="H178" s="207"/>
      <c r="I178" s="148"/>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row>
    <row r="179" spans="4:36" s="16" customFormat="1">
      <c r="D179" s="148"/>
      <c r="E179" s="207"/>
      <c r="F179" s="207"/>
      <c r="G179" s="207"/>
      <c r="H179" s="207"/>
      <c r="I179" s="148"/>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row>
    <row r="180" spans="4:36" s="16" customFormat="1">
      <c r="D180" s="148"/>
      <c r="E180" s="207"/>
      <c r="F180" s="207"/>
      <c r="G180" s="207"/>
      <c r="H180" s="207"/>
      <c r="I180" s="148"/>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row>
    <row r="181" spans="4:36" s="16" customFormat="1">
      <c r="D181" s="148"/>
      <c r="E181" s="207"/>
      <c r="F181" s="207"/>
      <c r="G181" s="207"/>
      <c r="H181" s="207"/>
      <c r="I181" s="148"/>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row>
    <row r="182" spans="4:36" s="16" customFormat="1">
      <c r="D182" s="148"/>
      <c r="E182" s="207"/>
      <c r="F182" s="207"/>
      <c r="G182" s="207"/>
      <c r="H182" s="207"/>
      <c r="I182" s="148"/>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row>
    <row r="183" spans="4:36" s="16" customFormat="1">
      <c r="D183" s="148"/>
      <c r="E183" s="207"/>
      <c r="F183" s="207"/>
      <c r="G183" s="207"/>
      <c r="H183" s="207"/>
      <c r="I183" s="148"/>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row>
    <row r="184" spans="4:36" s="16" customFormat="1">
      <c r="D184" s="148"/>
      <c r="E184" s="207"/>
      <c r="F184" s="207"/>
      <c r="G184" s="207"/>
      <c r="H184" s="207"/>
      <c r="I184" s="148"/>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row>
    <row r="185" spans="4:36" s="16" customFormat="1">
      <c r="D185" s="148"/>
      <c r="E185" s="207"/>
      <c r="F185" s="207"/>
      <c r="G185" s="207"/>
      <c r="H185" s="207"/>
      <c r="I185" s="148"/>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row>
    <row r="186" spans="4:36" s="16" customFormat="1">
      <c r="D186" s="148"/>
      <c r="E186" s="207"/>
      <c r="F186" s="207"/>
      <c r="G186" s="207"/>
      <c r="H186" s="207"/>
      <c r="I186" s="148"/>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row>
    <row r="187" spans="4:36" s="16" customFormat="1">
      <c r="D187" s="148"/>
      <c r="E187" s="207"/>
      <c r="F187" s="207"/>
      <c r="G187" s="207"/>
      <c r="H187" s="207"/>
      <c r="I187" s="148"/>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row>
    <row r="188" spans="4:36" s="16" customFormat="1">
      <c r="D188" s="148"/>
      <c r="E188" s="207"/>
      <c r="F188" s="207"/>
      <c r="G188" s="207"/>
      <c r="H188" s="207"/>
      <c r="I188" s="148"/>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row>
    <row r="189" spans="4:36" s="16" customFormat="1">
      <c r="D189" s="148"/>
      <c r="E189" s="207"/>
      <c r="F189" s="207"/>
      <c r="G189" s="207"/>
      <c r="H189" s="207"/>
      <c r="I189" s="148"/>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row>
    <row r="190" spans="4:36" s="16" customFormat="1">
      <c r="D190" s="148"/>
      <c r="E190" s="207"/>
      <c r="F190" s="207"/>
      <c r="G190" s="207"/>
      <c r="H190" s="207"/>
      <c r="I190" s="148"/>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row>
    <row r="191" spans="4:36" s="16" customFormat="1">
      <c r="D191" s="148"/>
      <c r="E191" s="207"/>
      <c r="F191" s="207"/>
      <c r="G191" s="207"/>
      <c r="H191" s="207"/>
      <c r="I191" s="148"/>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row>
    <row r="192" spans="4:36" s="16" customFormat="1">
      <c r="D192" s="148"/>
      <c r="E192" s="207"/>
      <c r="F192" s="207"/>
      <c r="G192" s="207"/>
      <c r="H192" s="207"/>
      <c r="I192" s="148"/>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row>
    <row r="193" spans="4:36" s="16" customFormat="1">
      <c r="D193" s="148"/>
      <c r="E193" s="207"/>
      <c r="F193" s="207"/>
      <c r="G193" s="207"/>
      <c r="H193" s="207"/>
      <c r="I193" s="148"/>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row>
    <row r="194" spans="4:36" s="16" customFormat="1">
      <c r="D194" s="148"/>
      <c r="E194" s="207"/>
      <c r="F194" s="207"/>
      <c r="G194" s="207"/>
      <c r="H194" s="207"/>
      <c r="I194" s="148"/>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row>
    <row r="195" spans="4:36" s="16" customFormat="1">
      <c r="D195" s="148"/>
      <c r="E195" s="207"/>
      <c r="F195" s="207"/>
      <c r="G195" s="207"/>
      <c r="H195" s="207"/>
      <c r="I195" s="148"/>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row>
    <row r="196" spans="4:36" s="16" customFormat="1">
      <c r="D196" s="148"/>
      <c r="E196" s="207"/>
      <c r="F196" s="207"/>
      <c r="G196" s="207"/>
      <c r="H196" s="207"/>
      <c r="I196" s="148"/>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row>
    <row r="197" spans="4:36" s="16" customFormat="1">
      <c r="D197" s="148"/>
      <c r="E197" s="207"/>
      <c r="F197" s="207"/>
      <c r="G197" s="207"/>
      <c r="H197" s="207"/>
      <c r="I197" s="148"/>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row>
    <row r="198" spans="4:36" s="16" customFormat="1">
      <c r="D198" s="148"/>
      <c r="E198" s="207"/>
      <c r="F198" s="207"/>
      <c r="G198" s="207"/>
      <c r="H198" s="207"/>
      <c r="I198" s="148"/>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row>
    <row r="199" spans="4:36" s="16" customFormat="1">
      <c r="D199" s="148"/>
      <c r="E199" s="207"/>
      <c r="F199" s="207"/>
      <c r="G199" s="207"/>
      <c r="H199" s="207"/>
      <c r="I199" s="148"/>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row>
    <row r="200" spans="4:36" s="16" customFormat="1">
      <c r="D200" s="148"/>
      <c r="E200" s="207"/>
      <c r="F200" s="207"/>
      <c r="G200" s="207"/>
      <c r="H200" s="207"/>
      <c r="I200" s="148"/>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row>
    <row r="201" spans="4:36" s="16" customFormat="1">
      <c r="D201" s="148"/>
      <c r="E201" s="207"/>
      <c r="F201" s="207"/>
      <c r="G201" s="207"/>
      <c r="H201" s="207"/>
      <c r="I201" s="148"/>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row>
    <row r="202" spans="4:36" s="16" customFormat="1">
      <c r="D202" s="148"/>
      <c r="E202" s="207"/>
      <c r="F202" s="207"/>
      <c r="G202" s="207"/>
      <c r="H202" s="207"/>
      <c r="I202" s="148"/>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row>
    <row r="203" spans="4:36" s="16" customFormat="1">
      <c r="D203" s="148"/>
      <c r="E203" s="207"/>
      <c r="F203" s="207"/>
      <c r="G203" s="207"/>
      <c r="H203" s="207"/>
      <c r="I203" s="148"/>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row>
    <row r="204" spans="4:36" s="16" customFormat="1">
      <c r="D204" s="148"/>
      <c r="E204" s="207"/>
      <c r="F204" s="207"/>
      <c r="G204" s="207"/>
      <c r="H204" s="207"/>
      <c r="I204" s="148"/>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row>
    <row r="205" spans="4:36" s="16" customFormat="1">
      <c r="D205" s="148"/>
      <c r="E205" s="207"/>
      <c r="F205" s="207"/>
      <c r="G205" s="207"/>
      <c r="H205" s="207"/>
      <c r="I205" s="148"/>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row>
    <row r="206" spans="4:36" s="16" customFormat="1">
      <c r="D206" s="148"/>
      <c r="E206" s="207"/>
      <c r="F206" s="207"/>
      <c r="G206" s="207"/>
      <c r="H206" s="207"/>
      <c r="I206" s="148"/>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row>
    <row r="207" spans="4:36" s="16" customFormat="1">
      <c r="D207" s="148"/>
      <c r="E207" s="207"/>
      <c r="F207" s="207"/>
      <c r="G207" s="207"/>
      <c r="H207" s="207"/>
      <c r="I207" s="148"/>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row>
    <row r="208" spans="4:36" s="16" customFormat="1">
      <c r="D208" s="148"/>
      <c r="E208" s="207"/>
      <c r="F208" s="207"/>
      <c r="G208" s="207"/>
      <c r="H208" s="207"/>
      <c r="I208" s="148"/>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row>
    <row r="209" spans="4:36" s="16" customFormat="1">
      <c r="D209" s="148"/>
      <c r="E209" s="207"/>
      <c r="F209" s="207"/>
      <c r="G209" s="207"/>
      <c r="H209" s="207"/>
      <c r="I209" s="148"/>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row>
    <row r="210" spans="4:36" s="16" customFormat="1">
      <c r="D210" s="148"/>
      <c r="E210" s="207"/>
      <c r="F210" s="207"/>
      <c r="G210" s="207"/>
      <c r="H210" s="207"/>
      <c r="I210" s="148"/>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row>
    <row r="211" spans="4:36" s="16" customFormat="1">
      <c r="D211" s="148"/>
      <c r="E211" s="207"/>
      <c r="F211" s="207"/>
      <c r="G211" s="207"/>
      <c r="H211" s="207"/>
      <c r="I211" s="148"/>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row>
    <row r="212" spans="4:36" s="16" customFormat="1">
      <c r="D212" s="148"/>
      <c r="E212" s="207"/>
      <c r="F212" s="207"/>
      <c r="G212" s="207"/>
      <c r="H212" s="207"/>
      <c r="I212" s="148"/>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row>
    <row r="213" spans="4:36" s="16" customFormat="1">
      <c r="D213" s="148"/>
      <c r="E213" s="207"/>
      <c r="F213" s="207"/>
      <c r="G213" s="207"/>
      <c r="H213" s="207"/>
      <c r="I213" s="148"/>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row>
    <row r="214" spans="4:36" s="16" customFormat="1">
      <c r="D214" s="148"/>
      <c r="E214" s="207"/>
      <c r="F214" s="207"/>
      <c r="G214" s="207"/>
      <c r="H214" s="207"/>
      <c r="I214" s="148"/>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row>
    <row r="215" spans="4:36" s="16" customFormat="1">
      <c r="D215" s="148"/>
      <c r="E215" s="207"/>
      <c r="F215" s="207"/>
      <c r="G215" s="207"/>
      <c r="H215" s="207"/>
      <c r="I215" s="148"/>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row>
    <row r="216" spans="4:36" s="16" customFormat="1">
      <c r="D216" s="148"/>
      <c r="E216" s="207"/>
      <c r="F216" s="207"/>
      <c r="G216" s="207"/>
      <c r="H216" s="207"/>
      <c r="I216" s="148"/>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row>
    <row r="217" spans="4:36" s="16" customFormat="1">
      <c r="D217" s="148"/>
      <c r="E217" s="207"/>
      <c r="F217" s="207"/>
      <c r="G217" s="207"/>
      <c r="H217" s="207"/>
      <c r="I217" s="148"/>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row>
    <row r="218" spans="4:36" s="16" customFormat="1">
      <c r="D218" s="148"/>
      <c r="E218" s="207"/>
      <c r="F218" s="207"/>
      <c r="G218" s="207"/>
      <c r="H218" s="207"/>
      <c r="I218" s="148"/>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row>
    <row r="219" spans="4:36" s="16" customFormat="1">
      <c r="D219" s="148"/>
      <c r="E219" s="207"/>
      <c r="F219" s="207"/>
      <c r="G219" s="207"/>
      <c r="H219" s="207"/>
      <c r="I219" s="148"/>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row>
    <row r="220" spans="4:36" s="16" customFormat="1">
      <c r="D220" s="148"/>
      <c r="E220" s="207"/>
      <c r="F220" s="207"/>
      <c r="G220" s="207"/>
      <c r="H220" s="207"/>
      <c r="I220" s="148"/>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row>
    <row r="221" spans="4:36" s="16" customFormat="1">
      <c r="D221" s="148"/>
      <c r="E221" s="207"/>
      <c r="F221" s="207"/>
      <c r="G221" s="207"/>
      <c r="H221" s="207"/>
      <c r="I221" s="148"/>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row>
    <row r="222" spans="4:36" s="16" customFormat="1">
      <c r="D222" s="148"/>
      <c r="E222" s="207"/>
      <c r="F222" s="207"/>
      <c r="G222" s="207"/>
      <c r="H222" s="207"/>
      <c r="I222" s="148"/>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row>
    <row r="223" spans="4:36" s="16" customFormat="1">
      <c r="D223" s="148"/>
      <c r="E223" s="207"/>
      <c r="F223" s="207"/>
      <c r="G223" s="207"/>
      <c r="H223" s="207"/>
      <c r="I223" s="148"/>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row>
    <row r="224" spans="4:36" s="16" customFormat="1">
      <c r="D224" s="148"/>
      <c r="E224" s="207"/>
      <c r="F224" s="207"/>
      <c r="G224" s="207"/>
      <c r="H224" s="207"/>
      <c r="I224" s="148"/>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row>
    <row r="225" spans="4:36" s="16" customFormat="1">
      <c r="D225" s="148"/>
      <c r="E225" s="207"/>
      <c r="F225" s="207"/>
      <c r="G225" s="207"/>
      <c r="H225" s="207"/>
      <c r="I225" s="148"/>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row>
    <row r="226" spans="4:36" s="16" customFormat="1">
      <c r="D226" s="148"/>
      <c r="E226" s="207"/>
      <c r="F226" s="207"/>
      <c r="G226" s="207"/>
      <c r="H226" s="207"/>
      <c r="I226" s="148"/>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row>
    <row r="227" spans="4:36" s="16" customFormat="1">
      <c r="D227" s="148"/>
      <c r="E227" s="207"/>
      <c r="F227" s="207"/>
      <c r="G227" s="207"/>
      <c r="H227" s="207"/>
      <c r="I227" s="148"/>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row>
    <row r="228" spans="4:36" s="16" customFormat="1">
      <c r="D228" s="148"/>
      <c r="E228" s="207"/>
      <c r="F228" s="207"/>
      <c r="G228" s="207"/>
      <c r="H228" s="207"/>
      <c r="I228" s="148"/>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row>
    <row r="229" spans="4:36" s="16" customFormat="1">
      <c r="D229" s="148"/>
      <c r="E229" s="207"/>
      <c r="F229" s="207"/>
      <c r="G229" s="207"/>
      <c r="H229" s="207"/>
      <c r="I229" s="148"/>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row>
    <row r="230" spans="4:36" s="16" customFormat="1">
      <c r="D230" s="148"/>
      <c r="E230" s="207"/>
      <c r="F230" s="207"/>
      <c r="G230" s="207"/>
      <c r="H230" s="207"/>
      <c r="I230" s="148"/>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row>
    <row r="231" spans="4:36" s="16" customFormat="1">
      <c r="D231" s="148"/>
      <c r="E231" s="207"/>
      <c r="F231" s="207"/>
      <c r="G231" s="207"/>
      <c r="H231" s="207"/>
      <c r="I231" s="148"/>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row>
    <row r="232" spans="4:36" s="16" customFormat="1">
      <c r="D232" s="148"/>
      <c r="E232" s="207"/>
      <c r="F232" s="207"/>
      <c r="G232" s="207"/>
      <c r="H232" s="207"/>
      <c r="I232" s="148"/>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row>
    <row r="233" spans="4:36" s="16" customFormat="1">
      <c r="D233" s="148"/>
      <c r="E233" s="207"/>
      <c r="F233" s="207"/>
      <c r="G233" s="207"/>
      <c r="H233" s="207"/>
      <c r="I233" s="148"/>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row>
    <row r="234" spans="4:36" s="16" customFormat="1">
      <c r="D234" s="148"/>
      <c r="E234" s="207"/>
      <c r="F234" s="207"/>
      <c r="G234" s="207"/>
      <c r="H234" s="207"/>
      <c r="I234" s="148"/>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row>
    <row r="235" spans="4:36" s="16" customFormat="1">
      <c r="D235" s="148"/>
      <c r="E235" s="207"/>
      <c r="F235" s="207"/>
      <c r="G235" s="207"/>
      <c r="H235" s="207"/>
      <c r="I235" s="148"/>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row>
    <row r="236" spans="4:36" s="16" customFormat="1">
      <c r="D236" s="148"/>
      <c r="E236" s="207"/>
      <c r="F236" s="207"/>
      <c r="G236" s="207"/>
      <c r="H236" s="207"/>
      <c r="I236" s="148"/>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row>
    <row r="237" spans="4:36" s="16" customFormat="1">
      <c r="D237" s="148"/>
      <c r="E237" s="207"/>
      <c r="F237" s="207"/>
      <c r="G237" s="207"/>
      <c r="H237" s="207"/>
      <c r="I237" s="148"/>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row>
    <row r="238" spans="4:36" s="16" customFormat="1">
      <c r="D238" s="148"/>
      <c r="E238" s="207"/>
      <c r="F238" s="207"/>
      <c r="G238" s="207"/>
      <c r="H238" s="207"/>
      <c r="I238" s="148"/>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row>
    <row r="239" spans="4:36" s="16" customFormat="1">
      <c r="D239" s="148"/>
      <c r="E239" s="207"/>
      <c r="F239" s="207"/>
      <c r="G239" s="207"/>
      <c r="H239" s="207"/>
      <c r="I239" s="148"/>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row>
    <row r="240" spans="4:36" s="16" customFormat="1">
      <c r="D240" s="148"/>
      <c r="E240" s="207"/>
      <c r="F240" s="207"/>
      <c r="G240" s="207"/>
      <c r="H240" s="207"/>
      <c r="I240" s="148"/>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row>
    <row r="241" spans="4:36" s="16" customFormat="1">
      <c r="D241" s="148"/>
      <c r="E241" s="207"/>
      <c r="F241" s="207"/>
      <c r="G241" s="207"/>
      <c r="H241" s="207"/>
      <c r="I241" s="148"/>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row>
    <row r="242" spans="4:36" s="16" customFormat="1">
      <c r="D242" s="148"/>
      <c r="E242" s="207"/>
      <c r="F242" s="207"/>
      <c r="G242" s="207"/>
      <c r="H242" s="207"/>
      <c r="I242" s="148"/>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row>
    <row r="243" spans="4:36" s="16" customFormat="1">
      <c r="D243" s="148"/>
      <c r="E243" s="207"/>
      <c r="F243" s="207"/>
      <c r="G243" s="207"/>
      <c r="H243" s="207"/>
      <c r="I243" s="148"/>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row>
    <row r="244" spans="4:36" s="16" customFormat="1">
      <c r="D244" s="148"/>
      <c r="E244" s="207"/>
      <c r="F244" s="207"/>
      <c r="G244" s="207"/>
      <c r="H244" s="207"/>
      <c r="I244" s="148"/>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row>
    <row r="245" spans="4:36" s="16" customFormat="1">
      <c r="D245" s="148"/>
      <c r="E245" s="207"/>
      <c r="F245" s="207"/>
      <c r="G245" s="207"/>
      <c r="H245" s="207"/>
      <c r="I245" s="148"/>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row>
    <row r="246" spans="4:36" s="16" customFormat="1">
      <c r="D246" s="148"/>
      <c r="E246" s="207"/>
      <c r="F246" s="207"/>
      <c r="G246" s="207"/>
      <c r="H246" s="207"/>
      <c r="I246" s="148"/>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row>
    <row r="247" spans="4:36" s="16" customFormat="1">
      <c r="D247" s="148"/>
      <c r="E247" s="207"/>
      <c r="F247" s="207"/>
      <c r="G247" s="207"/>
      <c r="H247" s="207"/>
      <c r="I247" s="148"/>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row>
    <row r="248" spans="4:36" s="16" customFormat="1">
      <c r="D248" s="148"/>
      <c r="E248" s="207"/>
      <c r="F248" s="207"/>
      <c r="G248" s="207"/>
      <c r="H248" s="207"/>
      <c r="I248" s="148"/>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row>
    <row r="249" spans="4:36" s="16" customFormat="1">
      <c r="D249" s="148"/>
      <c r="E249" s="207"/>
      <c r="F249" s="207"/>
      <c r="G249" s="207"/>
      <c r="H249" s="207"/>
      <c r="I249" s="148"/>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row>
    <row r="250" spans="4:36" s="16" customFormat="1">
      <c r="D250" s="148"/>
      <c r="E250" s="207"/>
      <c r="F250" s="207"/>
      <c r="G250" s="207"/>
      <c r="H250" s="207"/>
      <c r="I250" s="148"/>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row>
    <row r="251" spans="4:36" s="16" customFormat="1">
      <c r="D251" s="148"/>
      <c r="E251" s="207"/>
      <c r="F251" s="207"/>
      <c r="G251" s="207"/>
      <c r="H251" s="207"/>
      <c r="I251" s="148"/>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row>
    <row r="252" spans="4:36" s="16" customFormat="1">
      <c r="D252" s="148"/>
      <c r="E252" s="207"/>
      <c r="F252" s="207"/>
      <c r="G252" s="207"/>
      <c r="H252" s="207"/>
      <c r="I252" s="148"/>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row>
    <row r="253" spans="4:36" s="16" customFormat="1">
      <c r="D253" s="148"/>
      <c r="E253" s="207"/>
      <c r="F253" s="207"/>
      <c r="G253" s="207"/>
      <c r="H253" s="207"/>
      <c r="I253" s="148"/>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row>
    <row r="254" spans="4:36" s="16" customFormat="1">
      <c r="D254" s="148"/>
      <c r="E254" s="207"/>
      <c r="F254" s="207"/>
      <c r="G254" s="207"/>
      <c r="H254" s="207"/>
      <c r="I254" s="148"/>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row>
    <row r="255" spans="4:36" s="16" customFormat="1">
      <c r="D255" s="148"/>
      <c r="E255" s="207"/>
      <c r="F255" s="207"/>
      <c r="G255" s="207"/>
      <c r="H255" s="207"/>
      <c r="I255" s="148"/>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row>
    <row r="256" spans="4:36" s="16" customFormat="1">
      <c r="D256" s="148"/>
      <c r="E256" s="207"/>
      <c r="F256" s="207"/>
      <c r="G256" s="207"/>
      <c r="H256" s="207"/>
      <c r="I256" s="148"/>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row>
    <row r="257" spans="4:36" s="16" customFormat="1">
      <c r="D257" s="148"/>
      <c r="E257" s="207"/>
      <c r="F257" s="207"/>
      <c r="G257" s="207"/>
      <c r="H257" s="207"/>
      <c r="I257" s="148"/>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row>
    <row r="258" spans="4:36" s="16" customFormat="1">
      <c r="D258" s="148"/>
      <c r="E258" s="207"/>
      <c r="F258" s="207"/>
      <c r="G258" s="207"/>
      <c r="H258" s="207"/>
      <c r="I258" s="148"/>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row>
    <row r="259" spans="4:36" s="16" customFormat="1">
      <c r="D259" s="148"/>
      <c r="E259" s="207"/>
      <c r="F259" s="207"/>
      <c r="G259" s="207"/>
      <c r="H259" s="207"/>
      <c r="I259" s="148"/>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row>
    <row r="260" spans="4:36" s="16" customFormat="1">
      <c r="D260" s="148"/>
      <c r="E260" s="207"/>
      <c r="F260" s="207"/>
      <c r="G260" s="207"/>
      <c r="H260" s="207"/>
      <c r="I260" s="148"/>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row>
    <row r="261" spans="4:36" s="16" customFormat="1">
      <c r="D261" s="148"/>
      <c r="E261" s="207"/>
      <c r="F261" s="207"/>
      <c r="G261" s="207"/>
      <c r="H261" s="207"/>
      <c r="I261" s="148"/>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row>
    <row r="262" spans="4:36" s="16" customFormat="1">
      <c r="D262" s="148"/>
      <c r="E262" s="207"/>
      <c r="F262" s="207"/>
      <c r="G262" s="207"/>
      <c r="H262" s="207"/>
      <c r="I262" s="148"/>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row>
    <row r="263" spans="4:36" s="16" customFormat="1">
      <c r="D263" s="148"/>
      <c r="E263" s="207"/>
      <c r="F263" s="207"/>
      <c r="G263" s="207"/>
      <c r="H263" s="207"/>
      <c r="I263" s="148"/>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row>
    <row r="264" spans="4:36" s="16" customFormat="1">
      <c r="D264" s="148"/>
      <c r="E264" s="207"/>
      <c r="F264" s="207"/>
      <c r="G264" s="207"/>
      <c r="H264" s="207"/>
      <c r="I264" s="148"/>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row>
    <row r="265" spans="4:36" s="16" customFormat="1">
      <c r="D265" s="148"/>
      <c r="E265" s="207"/>
      <c r="F265" s="207"/>
      <c r="G265" s="207"/>
      <c r="H265" s="207"/>
      <c r="I265" s="148"/>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row>
    <row r="266" spans="4:36" s="16" customFormat="1">
      <c r="D266" s="148"/>
      <c r="E266" s="207"/>
      <c r="F266" s="207"/>
      <c r="G266" s="207"/>
      <c r="H266" s="207"/>
      <c r="I266" s="148"/>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row>
    <row r="267" spans="4:36" s="16" customFormat="1">
      <c r="D267" s="148"/>
      <c r="E267" s="207"/>
      <c r="F267" s="207"/>
      <c r="G267" s="207"/>
      <c r="H267" s="207"/>
      <c r="I267" s="148"/>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row>
    <row r="268" spans="4:36" s="16" customFormat="1">
      <c r="D268" s="148"/>
      <c r="E268" s="207"/>
      <c r="F268" s="207"/>
      <c r="G268" s="207"/>
      <c r="H268" s="207"/>
      <c r="I268" s="148"/>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row>
    <row r="269" spans="4:36" s="16" customFormat="1">
      <c r="D269" s="148"/>
      <c r="E269" s="207"/>
      <c r="F269" s="207"/>
      <c r="G269" s="207"/>
      <c r="H269" s="207"/>
      <c r="I269" s="148"/>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row>
    <row r="270" spans="4:36" s="16" customFormat="1">
      <c r="D270" s="148"/>
      <c r="E270" s="207"/>
      <c r="F270" s="207"/>
      <c r="G270" s="207"/>
      <c r="H270" s="207"/>
      <c r="I270" s="148"/>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row>
    <row r="271" spans="4:36" s="16" customFormat="1">
      <c r="D271" s="148"/>
      <c r="E271" s="207"/>
      <c r="F271" s="207"/>
      <c r="G271" s="207"/>
      <c r="H271" s="207"/>
      <c r="I271" s="148"/>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row>
    <row r="272" spans="4:36" s="16" customFormat="1">
      <c r="D272" s="148"/>
      <c r="E272" s="207"/>
      <c r="F272" s="207"/>
      <c r="G272" s="207"/>
      <c r="H272" s="207"/>
      <c r="I272" s="148"/>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row>
    <row r="273" spans="4:36" s="16" customFormat="1">
      <c r="D273" s="148"/>
      <c r="E273" s="207"/>
      <c r="F273" s="207"/>
      <c r="G273" s="207"/>
      <c r="H273" s="207"/>
      <c r="I273" s="148"/>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row>
    <row r="274" spans="4:36" s="16" customFormat="1">
      <c r="D274" s="148"/>
      <c r="E274" s="207"/>
      <c r="F274" s="207"/>
      <c r="G274" s="207"/>
      <c r="H274" s="207"/>
      <c r="I274" s="148"/>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row>
    <row r="275" spans="4:36" s="16" customFormat="1">
      <c r="D275" s="148"/>
      <c r="E275" s="207"/>
      <c r="F275" s="207"/>
      <c r="G275" s="207"/>
      <c r="H275" s="207"/>
      <c r="I275" s="148"/>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row>
    <row r="276" spans="4:36" s="16" customFormat="1">
      <c r="D276" s="148"/>
      <c r="E276" s="207"/>
      <c r="F276" s="207"/>
      <c r="G276" s="207"/>
      <c r="H276" s="207"/>
      <c r="I276" s="148"/>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row>
    <row r="277" spans="4:36" s="16" customFormat="1">
      <c r="D277" s="148"/>
      <c r="E277" s="207"/>
      <c r="F277" s="207"/>
      <c r="G277" s="207"/>
      <c r="H277" s="207"/>
      <c r="I277" s="148"/>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row>
    <row r="278" spans="4:36" s="16" customFormat="1">
      <c r="D278" s="148"/>
      <c r="E278" s="207"/>
      <c r="F278" s="207"/>
      <c r="G278" s="207"/>
      <c r="H278" s="207"/>
      <c r="I278" s="148"/>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row>
    <row r="279" spans="4:36" s="16" customFormat="1">
      <c r="D279" s="148"/>
      <c r="E279" s="207"/>
      <c r="F279" s="207"/>
      <c r="G279" s="207"/>
      <c r="H279" s="207"/>
      <c r="I279" s="148"/>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row>
    <row r="280" spans="4:36" s="16" customFormat="1">
      <c r="D280" s="148"/>
      <c r="E280" s="207"/>
      <c r="F280" s="207"/>
      <c r="G280" s="207"/>
      <c r="H280" s="207"/>
      <c r="I280" s="148"/>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row>
    <row r="281" spans="4:36" s="16" customFormat="1">
      <c r="D281" s="148"/>
      <c r="E281" s="207"/>
      <c r="F281" s="207"/>
      <c r="G281" s="207"/>
      <c r="H281" s="207"/>
      <c r="I281" s="148"/>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row>
    <row r="282" spans="4:36" s="16" customFormat="1">
      <c r="D282" s="148"/>
      <c r="E282" s="207"/>
      <c r="F282" s="207"/>
      <c r="G282" s="207"/>
      <c r="H282" s="207"/>
      <c r="I282" s="148"/>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row>
    <row r="283" spans="4:36" s="16" customFormat="1">
      <c r="D283" s="148"/>
      <c r="E283" s="207"/>
      <c r="F283" s="207"/>
      <c r="G283" s="207"/>
      <c r="H283" s="207"/>
      <c r="I283" s="148"/>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row>
    <row r="284" spans="4:36" s="16" customFormat="1">
      <c r="D284" s="148"/>
      <c r="E284" s="207"/>
      <c r="F284" s="207"/>
      <c r="G284" s="207"/>
      <c r="H284" s="207"/>
      <c r="I284" s="148"/>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row>
    <row r="285" spans="4:36" s="16" customFormat="1">
      <c r="D285" s="148"/>
      <c r="E285" s="207"/>
      <c r="F285" s="207"/>
      <c r="G285" s="207"/>
      <c r="H285" s="207"/>
      <c r="I285" s="148"/>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row>
    <row r="286" spans="4:36" s="16" customFormat="1">
      <c r="D286" s="148"/>
      <c r="E286" s="207"/>
      <c r="F286" s="207"/>
      <c r="G286" s="207"/>
      <c r="H286" s="207"/>
      <c r="I286" s="148"/>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row>
    <row r="287" spans="4:36" s="16" customFormat="1">
      <c r="D287" s="148"/>
      <c r="E287" s="207"/>
      <c r="F287" s="207"/>
      <c r="G287" s="207"/>
      <c r="H287" s="207"/>
      <c r="I287" s="148"/>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row>
    <row r="288" spans="4:36" s="16" customFormat="1">
      <c r="D288" s="148"/>
      <c r="E288" s="207"/>
      <c r="F288" s="207"/>
      <c r="G288" s="207"/>
      <c r="H288" s="207"/>
      <c r="I288" s="148"/>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row>
    <row r="289" spans="4:36" s="16" customFormat="1">
      <c r="D289" s="148"/>
      <c r="E289" s="207"/>
      <c r="F289" s="207"/>
      <c r="G289" s="207"/>
      <c r="H289" s="207"/>
      <c r="I289" s="148"/>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row>
    <row r="290" spans="4:36" s="16" customFormat="1">
      <c r="D290" s="148"/>
      <c r="E290" s="207"/>
      <c r="F290" s="207"/>
      <c r="G290" s="207"/>
      <c r="H290" s="207"/>
      <c r="I290" s="148"/>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row>
    <row r="291" spans="4:36" s="16" customFormat="1">
      <c r="D291" s="148"/>
      <c r="E291" s="207"/>
      <c r="F291" s="207"/>
      <c r="G291" s="207"/>
      <c r="H291" s="207"/>
      <c r="I291" s="148"/>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row>
    <row r="292" spans="4:36" s="16" customFormat="1">
      <c r="D292" s="148"/>
      <c r="E292" s="207"/>
      <c r="F292" s="207"/>
      <c r="G292" s="207"/>
      <c r="H292" s="207"/>
      <c r="I292" s="148"/>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row>
    <row r="293" spans="4:36" s="16" customFormat="1">
      <c r="D293" s="148"/>
      <c r="E293" s="207"/>
      <c r="F293" s="207"/>
      <c r="G293" s="207"/>
      <c r="H293" s="207"/>
      <c r="I293" s="148"/>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row>
    <row r="294" spans="4:36" s="16" customFormat="1">
      <c r="D294" s="148"/>
      <c r="E294" s="207"/>
      <c r="F294" s="207"/>
      <c r="G294" s="207"/>
      <c r="H294" s="207"/>
      <c r="I294" s="148"/>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row>
    <row r="295" spans="4:36" s="16" customFormat="1">
      <c r="D295" s="148"/>
      <c r="E295" s="207"/>
      <c r="F295" s="207"/>
      <c r="G295" s="207"/>
      <c r="H295" s="207"/>
      <c r="I295" s="148"/>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row>
    <row r="296" spans="4:36" s="16" customFormat="1">
      <c r="D296" s="148"/>
      <c r="E296" s="207"/>
      <c r="F296" s="207"/>
      <c r="G296" s="207"/>
      <c r="H296" s="207"/>
      <c r="I296" s="148"/>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row>
    <row r="297" spans="4:36" s="16" customFormat="1">
      <c r="D297" s="148"/>
      <c r="E297" s="207"/>
      <c r="F297" s="207"/>
      <c r="G297" s="207"/>
      <c r="H297" s="207"/>
      <c r="I297" s="148"/>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row>
    <row r="298" spans="4:36" s="16" customFormat="1">
      <c r="D298" s="148"/>
      <c r="E298" s="207"/>
      <c r="F298" s="207"/>
      <c r="G298" s="207"/>
      <c r="H298" s="207"/>
      <c r="I298" s="148"/>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row>
    <row r="299" spans="4:36" s="16" customFormat="1">
      <c r="D299" s="148"/>
      <c r="E299" s="207"/>
      <c r="F299" s="207"/>
      <c r="G299" s="207"/>
      <c r="H299" s="207"/>
      <c r="I299" s="148"/>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row>
    <row r="300" spans="4:36" s="16" customFormat="1">
      <c r="D300" s="148"/>
      <c r="E300" s="207"/>
      <c r="F300" s="207"/>
      <c r="G300" s="207"/>
      <c r="H300" s="207"/>
      <c r="I300" s="148"/>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row>
    <row r="301" spans="4:36" s="16" customFormat="1">
      <c r="D301" s="148"/>
      <c r="E301" s="207"/>
      <c r="F301" s="207"/>
      <c r="G301" s="207"/>
      <c r="H301" s="207"/>
      <c r="I301" s="148"/>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row>
    <row r="302" spans="4:36" s="16" customFormat="1">
      <c r="D302" s="148"/>
      <c r="E302" s="207"/>
      <c r="F302" s="207"/>
      <c r="G302" s="207"/>
      <c r="H302" s="207"/>
      <c r="I302" s="148"/>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row>
    <row r="303" spans="4:36" s="16" customFormat="1">
      <c r="D303" s="148"/>
      <c r="E303" s="207"/>
      <c r="F303" s="207"/>
      <c r="G303" s="207"/>
      <c r="H303" s="207"/>
      <c r="I303" s="148"/>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row>
    <row r="304" spans="4:36" s="16" customFormat="1">
      <c r="D304" s="148"/>
      <c r="E304" s="207"/>
      <c r="F304" s="207"/>
      <c r="G304" s="207"/>
      <c r="H304" s="207"/>
      <c r="I304" s="148"/>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row>
    <row r="305" spans="4:36" s="16" customFormat="1">
      <c r="D305" s="148"/>
      <c r="E305" s="207"/>
      <c r="F305" s="207"/>
      <c r="G305" s="207"/>
      <c r="H305" s="207"/>
      <c r="I305" s="148"/>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row>
    <row r="306" spans="4:36" s="16" customFormat="1">
      <c r="D306" s="148"/>
      <c r="E306" s="207"/>
      <c r="F306" s="207"/>
      <c r="G306" s="207"/>
      <c r="H306" s="207"/>
      <c r="I306" s="148"/>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row>
    <row r="307" spans="4:36" s="16" customFormat="1">
      <c r="D307" s="148"/>
      <c r="E307" s="207"/>
      <c r="F307" s="207"/>
      <c r="G307" s="207"/>
      <c r="H307" s="207"/>
      <c r="I307" s="148"/>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row>
    <row r="308" spans="4:36" s="16" customFormat="1">
      <c r="D308" s="148"/>
      <c r="E308" s="207"/>
      <c r="F308" s="207"/>
      <c r="G308" s="207"/>
      <c r="H308" s="207"/>
      <c r="I308" s="148"/>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row>
    <row r="309" spans="4:36" s="16" customFormat="1">
      <c r="D309" s="148"/>
      <c r="E309" s="207"/>
      <c r="F309" s="207"/>
      <c r="G309" s="207"/>
      <c r="H309" s="207"/>
      <c r="I309" s="148"/>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row>
    <row r="310" spans="4:36" s="16" customFormat="1">
      <c r="D310" s="148"/>
      <c r="E310" s="207"/>
      <c r="F310" s="207"/>
      <c r="G310" s="207"/>
      <c r="H310" s="207"/>
      <c r="I310" s="148"/>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row>
    <row r="311" spans="4:36" s="16" customFormat="1">
      <c r="D311" s="148"/>
      <c r="E311" s="207"/>
      <c r="F311" s="207"/>
      <c r="G311" s="207"/>
      <c r="H311" s="207"/>
      <c r="I311" s="148"/>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row>
    <row r="312" spans="4:36" s="16" customFormat="1">
      <c r="D312" s="148"/>
      <c r="E312" s="207"/>
      <c r="F312" s="207"/>
      <c r="G312" s="207"/>
      <c r="H312" s="207"/>
      <c r="I312" s="148"/>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row>
    <row r="313" spans="4:36" s="16" customFormat="1">
      <c r="D313" s="148"/>
      <c r="E313" s="207"/>
      <c r="F313" s="207"/>
      <c r="G313" s="207"/>
      <c r="H313" s="207"/>
      <c r="I313" s="148"/>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row>
    <row r="314" spans="4:36" s="16" customFormat="1">
      <c r="D314" s="148"/>
      <c r="E314" s="207"/>
      <c r="F314" s="207"/>
      <c r="G314" s="207"/>
      <c r="H314" s="207"/>
      <c r="I314" s="148"/>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row>
    <row r="315" spans="4:36" s="16" customFormat="1">
      <c r="D315" s="148"/>
      <c r="E315" s="207"/>
      <c r="F315" s="207"/>
      <c r="G315" s="207"/>
      <c r="H315" s="207"/>
      <c r="I315" s="148"/>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row>
    <row r="316" spans="4:36" s="16" customFormat="1">
      <c r="D316" s="148"/>
      <c r="E316" s="207"/>
      <c r="F316" s="207"/>
      <c r="G316" s="207"/>
      <c r="H316" s="207"/>
      <c r="I316" s="148"/>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row>
    <row r="317" spans="4:36" s="16" customFormat="1">
      <c r="D317" s="148"/>
      <c r="E317" s="207"/>
      <c r="F317" s="207"/>
      <c r="G317" s="207"/>
      <c r="H317" s="207"/>
      <c r="I317" s="148"/>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row>
    <row r="318" spans="4:36" s="16" customFormat="1">
      <c r="D318" s="148"/>
      <c r="E318" s="207"/>
      <c r="F318" s="207"/>
      <c r="G318" s="207"/>
      <c r="H318" s="207"/>
      <c r="I318" s="148"/>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row>
    <row r="319" spans="4:36" s="16" customFormat="1">
      <c r="D319" s="148"/>
      <c r="E319" s="207"/>
      <c r="F319" s="207"/>
      <c r="G319" s="207"/>
      <c r="H319" s="207"/>
      <c r="I319" s="148"/>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row>
    <row r="320" spans="4:36" s="16" customFormat="1">
      <c r="D320" s="148"/>
      <c r="E320" s="207"/>
      <c r="F320" s="207"/>
      <c r="G320" s="207"/>
      <c r="H320" s="207"/>
      <c r="I320" s="148"/>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row>
    <row r="321" spans="4:36" s="16" customFormat="1">
      <c r="D321" s="148"/>
      <c r="E321" s="207"/>
      <c r="F321" s="207"/>
      <c r="G321" s="207"/>
      <c r="H321" s="207"/>
      <c r="I321" s="148"/>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row>
    <row r="322" spans="4:36" s="16" customFormat="1">
      <c r="D322" s="148"/>
      <c r="E322" s="207"/>
      <c r="F322" s="207"/>
      <c r="G322" s="207"/>
      <c r="H322" s="207"/>
      <c r="I322" s="148"/>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row>
    <row r="323" spans="4:36" s="16" customFormat="1">
      <c r="D323" s="148"/>
      <c r="E323" s="207"/>
      <c r="F323" s="207"/>
      <c r="G323" s="207"/>
      <c r="H323" s="207"/>
      <c r="I323" s="148"/>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row>
    <row r="324" spans="4:36" s="16" customFormat="1">
      <c r="D324" s="148"/>
      <c r="E324" s="207"/>
      <c r="F324" s="207"/>
      <c r="G324" s="207"/>
      <c r="H324" s="207"/>
      <c r="I324" s="148"/>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row>
    <row r="325" spans="4:36" s="16" customFormat="1">
      <c r="D325" s="148"/>
      <c r="E325" s="207"/>
      <c r="F325" s="207"/>
      <c r="G325" s="207"/>
      <c r="H325" s="207"/>
      <c r="I325" s="148"/>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row>
    <row r="326" spans="4:36" s="16" customFormat="1">
      <c r="D326" s="148"/>
      <c r="E326" s="207"/>
      <c r="F326" s="207"/>
      <c r="G326" s="207"/>
      <c r="H326" s="207"/>
      <c r="I326" s="148"/>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row>
    <row r="327" spans="4:36" s="16" customFormat="1">
      <c r="D327" s="148"/>
      <c r="E327" s="207"/>
      <c r="F327" s="207"/>
      <c r="G327" s="207"/>
      <c r="H327" s="207"/>
      <c r="I327" s="148"/>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row>
    <row r="328" spans="4:36" s="16" customFormat="1">
      <c r="D328" s="148"/>
      <c r="E328" s="207"/>
      <c r="F328" s="207"/>
      <c r="G328" s="207"/>
      <c r="H328" s="207"/>
      <c r="I328" s="148"/>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row>
    <row r="329" spans="4:36" s="16" customFormat="1">
      <c r="D329" s="148"/>
      <c r="E329" s="207"/>
      <c r="F329" s="207"/>
      <c r="G329" s="207"/>
      <c r="H329" s="207"/>
      <c r="I329" s="148"/>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row>
    <row r="330" spans="4:36" s="16" customFormat="1">
      <c r="D330" s="148"/>
      <c r="E330" s="207"/>
      <c r="F330" s="207"/>
      <c r="G330" s="207"/>
      <c r="H330" s="207"/>
      <c r="I330" s="148"/>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row>
    <row r="331" spans="4:36" s="16" customFormat="1">
      <c r="D331" s="148"/>
      <c r="E331" s="207"/>
      <c r="F331" s="207"/>
      <c r="G331" s="207"/>
      <c r="H331" s="207"/>
      <c r="I331" s="148"/>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row>
    <row r="332" spans="4:36" s="16" customFormat="1">
      <c r="D332" s="148"/>
      <c r="E332" s="207"/>
      <c r="F332" s="207"/>
      <c r="G332" s="207"/>
      <c r="H332" s="207"/>
      <c r="I332" s="148"/>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row>
    <row r="333" spans="4:36" s="16" customFormat="1">
      <c r="D333" s="148"/>
      <c r="E333" s="207"/>
      <c r="F333" s="207"/>
      <c r="G333" s="207"/>
      <c r="H333" s="207"/>
      <c r="I333" s="148"/>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row>
    <row r="334" spans="4:36" s="16" customFormat="1">
      <c r="D334" s="148"/>
      <c r="E334" s="207"/>
      <c r="F334" s="207"/>
      <c r="G334" s="207"/>
      <c r="H334" s="207"/>
      <c r="I334" s="148"/>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row>
    <row r="335" spans="4:36" s="16" customFormat="1">
      <c r="D335" s="148"/>
      <c r="E335" s="207"/>
      <c r="F335" s="207"/>
      <c r="G335" s="207"/>
      <c r="H335" s="207"/>
      <c r="I335" s="148"/>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row>
    <row r="336" spans="4:36" s="16" customFormat="1">
      <c r="D336" s="148"/>
      <c r="E336" s="207"/>
      <c r="F336" s="207"/>
      <c r="G336" s="207"/>
      <c r="H336" s="207"/>
      <c r="I336" s="148"/>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row>
    <row r="337" spans="4:36" s="16" customFormat="1">
      <c r="D337" s="148"/>
      <c r="E337" s="207"/>
      <c r="F337" s="207"/>
      <c r="G337" s="207"/>
      <c r="H337" s="207"/>
      <c r="I337" s="148"/>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row>
    <row r="338" spans="4:36" s="16" customFormat="1">
      <c r="D338" s="148"/>
      <c r="E338" s="207"/>
      <c r="F338" s="207"/>
      <c r="G338" s="207"/>
      <c r="H338" s="207"/>
      <c r="I338" s="148"/>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row>
    <row r="339" spans="4:36" s="16" customFormat="1">
      <c r="D339" s="148"/>
      <c r="E339" s="207"/>
      <c r="F339" s="207"/>
      <c r="G339" s="207"/>
      <c r="H339" s="207"/>
      <c r="I339" s="148"/>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row>
    <row r="340" spans="4:36" s="16" customFormat="1">
      <c r="D340" s="148"/>
      <c r="E340" s="207"/>
      <c r="F340" s="207"/>
      <c r="G340" s="207"/>
      <c r="H340" s="207"/>
      <c r="I340" s="148"/>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row>
    <row r="341" spans="4:36" s="16" customFormat="1">
      <c r="D341" s="148"/>
      <c r="E341" s="207"/>
      <c r="F341" s="207"/>
      <c r="G341" s="207"/>
      <c r="H341" s="207"/>
      <c r="I341" s="148"/>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row>
    <row r="342" spans="4:36" s="16" customFormat="1">
      <c r="D342" s="148"/>
      <c r="E342" s="207"/>
      <c r="F342" s="207"/>
      <c r="G342" s="207"/>
      <c r="H342" s="207"/>
      <c r="I342" s="148"/>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row>
    <row r="343" spans="4:36" s="16" customFormat="1">
      <c r="D343" s="148"/>
      <c r="E343" s="207"/>
      <c r="F343" s="207"/>
      <c r="G343" s="207"/>
      <c r="H343" s="207"/>
      <c r="I343" s="148"/>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row>
    <row r="344" spans="4:36" s="16" customFormat="1">
      <c r="D344" s="148"/>
      <c r="E344" s="207"/>
      <c r="F344" s="207"/>
      <c r="G344" s="207"/>
      <c r="H344" s="207"/>
      <c r="I344" s="148"/>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row>
    <row r="345" spans="4:36" s="16" customFormat="1">
      <c r="D345" s="148"/>
      <c r="E345" s="207"/>
      <c r="F345" s="207"/>
      <c r="G345" s="207"/>
      <c r="H345" s="207"/>
      <c r="I345" s="148"/>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row>
    <row r="346" spans="4:36" s="16" customFormat="1">
      <c r="D346" s="148"/>
      <c r="E346" s="207"/>
      <c r="F346" s="207"/>
      <c r="G346" s="207"/>
      <c r="H346" s="207"/>
      <c r="I346" s="148"/>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row>
    <row r="347" spans="4:36" s="16" customFormat="1">
      <c r="D347" s="148"/>
      <c r="E347" s="207"/>
      <c r="F347" s="207"/>
      <c r="G347" s="207"/>
      <c r="H347" s="207"/>
      <c r="I347" s="148"/>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row>
    <row r="348" spans="4:36" s="16" customFormat="1">
      <c r="D348" s="148"/>
      <c r="E348" s="207"/>
      <c r="F348" s="207"/>
      <c r="G348" s="207"/>
      <c r="H348" s="207"/>
      <c r="I348" s="148"/>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row>
    <row r="349" spans="4:36" s="16" customFormat="1">
      <c r="D349" s="148"/>
      <c r="E349" s="207"/>
      <c r="F349" s="207"/>
      <c r="G349" s="207"/>
      <c r="H349" s="207"/>
      <c r="I349" s="148"/>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row>
    <row r="350" spans="4:36" s="16" customFormat="1">
      <c r="D350" s="148"/>
      <c r="E350" s="207"/>
      <c r="F350" s="207"/>
      <c r="G350" s="207"/>
      <c r="H350" s="207"/>
      <c r="I350" s="148"/>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row>
    <row r="351" spans="4:36" s="16" customFormat="1">
      <c r="D351" s="148"/>
      <c r="E351" s="207"/>
      <c r="F351" s="207"/>
      <c r="G351" s="207"/>
      <c r="H351" s="207"/>
      <c r="I351" s="148"/>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row>
    <row r="352" spans="4:36" s="16" customFormat="1">
      <c r="D352" s="148"/>
      <c r="E352" s="207"/>
      <c r="F352" s="207"/>
      <c r="G352" s="207"/>
      <c r="H352" s="207"/>
      <c r="I352" s="148"/>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row>
    <row r="353" spans="4:36" s="16" customFormat="1">
      <c r="D353" s="148"/>
      <c r="E353" s="207"/>
      <c r="F353" s="207"/>
      <c r="G353" s="207"/>
      <c r="H353" s="207"/>
      <c r="I353" s="148"/>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row>
    <row r="354" spans="4:36" s="16" customFormat="1">
      <c r="D354" s="148"/>
      <c r="E354" s="207"/>
      <c r="F354" s="207"/>
      <c r="G354" s="207"/>
      <c r="H354" s="207"/>
      <c r="I354" s="148"/>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row>
    <row r="355" spans="4:36" s="16" customFormat="1">
      <c r="D355" s="148"/>
      <c r="E355" s="207"/>
      <c r="F355" s="207"/>
      <c r="G355" s="207"/>
      <c r="H355" s="207"/>
      <c r="I355" s="148"/>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row>
    <row r="356" spans="4:36" s="16" customFormat="1">
      <c r="D356" s="148"/>
      <c r="E356" s="207"/>
      <c r="F356" s="207"/>
      <c r="G356" s="207"/>
      <c r="H356" s="207"/>
      <c r="I356" s="148"/>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row>
    <row r="357" spans="4:36" s="16" customFormat="1">
      <c r="D357" s="148"/>
      <c r="E357" s="207"/>
      <c r="F357" s="207"/>
      <c r="G357" s="207"/>
      <c r="H357" s="207"/>
      <c r="I357" s="148"/>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row>
    <row r="358" spans="4:36" s="16" customFormat="1">
      <c r="D358" s="148"/>
      <c r="E358" s="207"/>
      <c r="F358" s="207"/>
      <c r="G358" s="207"/>
      <c r="H358" s="207"/>
      <c r="I358" s="148"/>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row>
    <row r="359" spans="4:36" s="16" customFormat="1">
      <c r="D359" s="148"/>
      <c r="E359" s="207"/>
      <c r="F359" s="207"/>
      <c r="G359" s="207"/>
      <c r="H359" s="207"/>
      <c r="I359" s="148"/>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row>
    <row r="360" spans="4:36" s="16" customFormat="1">
      <c r="D360" s="148"/>
      <c r="E360" s="207"/>
      <c r="F360" s="207"/>
      <c r="G360" s="207"/>
      <c r="H360" s="207"/>
      <c r="I360" s="148"/>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row>
    <row r="361" spans="4:36" s="16" customFormat="1">
      <c r="D361" s="148"/>
      <c r="E361" s="207"/>
      <c r="F361" s="207"/>
      <c r="G361" s="207"/>
      <c r="H361" s="207"/>
      <c r="I361" s="148"/>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row>
    <row r="362" spans="4:36" s="16" customFormat="1">
      <c r="D362" s="148"/>
      <c r="E362" s="207"/>
      <c r="F362" s="207"/>
      <c r="G362" s="207"/>
      <c r="H362" s="207"/>
      <c r="I362" s="148"/>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row>
    <row r="363" spans="4:36" s="16" customFormat="1">
      <c r="D363" s="148"/>
      <c r="E363" s="207"/>
      <c r="F363" s="207"/>
      <c r="G363" s="207"/>
      <c r="H363" s="207"/>
      <c r="I363" s="148"/>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row>
    <row r="364" spans="4:36" s="16" customFormat="1">
      <c r="D364" s="148"/>
      <c r="E364" s="207"/>
      <c r="F364" s="207"/>
      <c r="G364" s="207"/>
      <c r="H364" s="207"/>
      <c r="I364" s="148"/>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row>
    <row r="365" spans="4:36" s="16" customFormat="1">
      <c r="D365" s="148"/>
      <c r="E365" s="207"/>
      <c r="F365" s="207"/>
      <c r="G365" s="207"/>
      <c r="H365" s="207"/>
      <c r="I365" s="148"/>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row>
    <row r="366" spans="4:36" s="16" customFormat="1">
      <c r="D366" s="148"/>
      <c r="E366" s="207"/>
      <c r="F366" s="207"/>
      <c r="G366" s="207"/>
      <c r="H366" s="207"/>
      <c r="I366" s="148"/>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row>
    <row r="367" spans="4:36" s="16" customFormat="1">
      <c r="D367" s="148"/>
      <c r="E367" s="207"/>
      <c r="F367" s="207"/>
      <c r="G367" s="207"/>
      <c r="H367" s="207"/>
      <c r="I367" s="148"/>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row>
    <row r="368" spans="4:36" s="16" customFormat="1">
      <c r="D368" s="148"/>
      <c r="E368" s="207"/>
      <c r="F368" s="207"/>
      <c r="G368" s="207"/>
      <c r="H368" s="207"/>
      <c r="I368" s="148"/>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row>
    <row r="369" spans="4:36" s="16" customFormat="1">
      <c r="D369" s="148"/>
      <c r="E369" s="207"/>
      <c r="F369" s="207"/>
      <c r="G369" s="207"/>
      <c r="H369" s="207"/>
      <c r="I369" s="148"/>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row>
    <row r="370" spans="4:36" s="16" customFormat="1">
      <c r="D370" s="148"/>
      <c r="E370" s="207"/>
      <c r="F370" s="207"/>
      <c r="G370" s="207"/>
      <c r="H370" s="207"/>
      <c r="I370" s="148"/>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row>
    <row r="371" spans="4:36" s="16" customFormat="1">
      <c r="D371" s="148"/>
      <c r="E371" s="207"/>
      <c r="F371" s="207"/>
      <c r="G371" s="207"/>
      <c r="H371" s="207"/>
      <c r="I371" s="148"/>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row>
    <row r="372" spans="4:36" s="16" customFormat="1">
      <c r="D372" s="148"/>
      <c r="E372" s="207"/>
      <c r="F372" s="207"/>
      <c r="G372" s="207"/>
      <c r="H372" s="207"/>
      <c r="I372" s="148"/>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row>
    <row r="373" spans="4:36" s="16" customFormat="1">
      <c r="D373" s="148"/>
      <c r="E373" s="207"/>
      <c r="F373" s="207"/>
      <c r="G373" s="207"/>
      <c r="H373" s="207"/>
      <c r="I373" s="148"/>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row>
    <row r="374" spans="4:36" s="16" customFormat="1">
      <c r="D374" s="148"/>
      <c r="E374" s="207"/>
      <c r="F374" s="207"/>
      <c r="G374" s="207"/>
      <c r="H374" s="207"/>
      <c r="I374" s="148"/>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row>
    <row r="375" spans="4:36" s="16" customFormat="1">
      <c r="D375" s="148"/>
      <c r="E375" s="207"/>
      <c r="F375" s="207"/>
      <c r="G375" s="207"/>
      <c r="H375" s="207"/>
      <c r="I375" s="148"/>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row>
    <row r="376" spans="4:36" s="16" customFormat="1">
      <c r="D376" s="148"/>
      <c r="E376" s="207"/>
      <c r="F376" s="207"/>
      <c r="G376" s="207"/>
      <c r="H376" s="207"/>
      <c r="I376" s="148"/>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row>
    <row r="377" spans="4:36" s="16" customFormat="1">
      <c r="D377" s="148"/>
      <c r="E377" s="207"/>
      <c r="F377" s="207"/>
      <c r="G377" s="207"/>
      <c r="H377" s="207"/>
      <c r="I377" s="148"/>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row>
    <row r="378" spans="4:36" s="16" customFormat="1">
      <c r="D378" s="148"/>
      <c r="E378" s="207"/>
      <c r="F378" s="207"/>
      <c r="G378" s="207"/>
      <c r="H378" s="207"/>
      <c r="I378" s="148"/>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row>
    <row r="379" spans="4:36" s="16" customFormat="1">
      <c r="D379" s="148"/>
      <c r="E379" s="207"/>
      <c r="F379" s="207"/>
      <c r="G379" s="207"/>
      <c r="H379" s="207"/>
      <c r="I379" s="148"/>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row>
    <row r="380" spans="4:36" s="16" customFormat="1">
      <c r="D380" s="148"/>
      <c r="E380" s="207"/>
      <c r="F380" s="207"/>
      <c r="G380" s="207"/>
      <c r="H380" s="207"/>
      <c r="I380" s="148"/>
      <c r="J380" s="208"/>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row>
    <row r="381" spans="4:36" s="16" customFormat="1">
      <c r="D381" s="148"/>
      <c r="E381" s="207"/>
      <c r="F381" s="207"/>
      <c r="G381" s="207"/>
      <c r="H381" s="207"/>
      <c r="I381" s="148"/>
      <c r="J381" s="208"/>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row>
    <row r="382" spans="4:36" s="16" customFormat="1">
      <c r="D382" s="148"/>
      <c r="E382" s="207"/>
      <c r="F382" s="207"/>
      <c r="G382" s="207"/>
      <c r="H382" s="207"/>
      <c r="I382" s="148"/>
      <c r="J382" s="208"/>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row>
    <row r="383" spans="4:36" s="16" customFormat="1">
      <c r="D383" s="148"/>
      <c r="E383" s="207"/>
      <c r="F383" s="207"/>
      <c r="G383" s="207"/>
      <c r="H383" s="207"/>
      <c r="I383" s="148"/>
      <c r="J383" s="208"/>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row>
  </sheetData>
  <mergeCells count="49">
    <mergeCell ref="D40:D43"/>
    <mergeCell ref="E40:E43"/>
    <mergeCell ref="H40:H43"/>
    <mergeCell ref="D44:D48"/>
    <mergeCell ref="E44:E48"/>
    <mergeCell ref="H44:H48"/>
    <mergeCell ref="J61:J65"/>
    <mergeCell ref="D52:D54"/>
    <mergeCell ref="E52:E54"/>
    <mergeCell ref="H52:H54"/>
    <mergeCell ref="D61:D65"/>
    <mergeCell ref="E61:E65"/>
    <mergeCell ref="H61:H65"/>
    <mergeCell ref="AM13:AM16"/>
    <mergeCell ref="D16:I16"/>
    <mergeCell ref="D17:D23"/>
    <mergeCell ref="E17:E23"/>
    <mergeCell ref="H17:H23"/>
    <mergeCell ref="O13:P13"/>
    <mergeCell ref="T13:U13"/>
    <mergeCell ref="V13:W13"/>
    <mergeCell ref="AA13:AB13"/>
    <mergeCell ref="AC13:AD13"/>
    <mergeCell ref="AF13:AG13"/>
    <mergeCell ref="M13:N13"/>
    <mergeCell ref="AJ13:AJ15"/>
    <mergeCell ref="Y13:Z13"/>
    <mergeCell ref="Q13:Q15"/>
    <mergeCell ref="H24:H31"/>
    <mergeCell ref="D32:D39"/>
    <mergeCell ref="E32:E39"/>
    <mergeCell ref="H32:H39"/>
    <mergeCell ref="D24:D31"/>
    <mergeCell ref="E24:E31"/>
    <mergeCell ref="D6:E6"/>
    <mergeCell ref="F6:G6"/>
    <mergeCell ref="D7:AI7"/>
    <mergeCell ref="D13:D15"/>
    <mergeCell ref="E13:E15"/>
    <mergeCell ref="F13:F15"/>
    <mergeCell ref="G13:G15"/>
    <mergeCell ref="H13:H15"/>
    <mergeCell ref="I13:I15"/>
    <mergeCell ref="J13:J14"/>
    <mergeCell ref="AH13:AI13"/>
    <mergeCell ref="X13:X15"/>
    <mergeCell ref="AE13:AE15"/>
    <mergeCell ref="K13:L13"/>
    <mergeCell ref="R13:S13"/>
  </mergeCells>
  <dataValidations count="4">
    <dataValidation type="decimal" allowBlank="1" showErrorMessage="1" errorTitle="Ошибка" error="Допускается ввод только неотрицательных чисел!" sqref="M17:M64 R17:R64 Y17:Y64 AA17:AA64 AH17:AH64 K17:K64 T17:T64 O17:O64 AF17:AF64">
      <formula1>0</formula1>
      <formula2>9.99999999999999E+23</formula2>
    </dataValidation>
    <dataValidation allowBlank="1" showInputMessage="1" showErrorMessage="1" errorTitle="Внимание" error="Допускается ввод только действительных чисел!" sqref="AM17:AM81"/>
    <dataValidation type="decimal" allowBlank="1" showInputMessage="1" showErrorMessage="1" error="Ввведеное значение неверно" sqref="T77 AF77 AC77 V77 AH77 AA77 O77 M77 Y77 K77 R77 J61:J81">
      <formula1>-1000000000000000</formula1>
      <formula2>1000000000000000</formula2>
    </dataValidation>
    <dataValidation type="decimal" allowBlank="1" showInputMessage="1" showErrorMessage="1" errorTitle="Внимание" error="Допускается ввод только действительных чисел!" sqref="T78:T81 AF78:AF81 AG65 AF65:AF76 U65 V78:V81 O65:O76 AA65:AA76 AH78:AH81 AI65:AJ65 S65 AA78:AA81 K78:K81 AB65 AC78:AC81 T65:T76 W65:X65 O78:O81 AH65:AH76 V19:V76 AC19:AC76 M65:M76 N65 M78:M81 K65:K76 L65 P65:Q65 R78:R81 R65:R76 Y65:Y76 Z65 Y78:Y81 AD65:AE65">
      <formula1>0</formula1>
      <formula2>9.99999999999999E+23</formula2>
    </dataValidation>
  </dataValidations>
  <hyperlinks>
    <hyperlink ref="D6" location="'Список листов'!A1" tooltip="Список листов" display="Список листов"/>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tabColor rgb="FFFF0000"/>
  </sheetPr>
  <dimension ref="A1:AT71"/>
  <sheetViews>
    <sheetView topLeftCell="A2" zoomScale="70" zoomScaleNormal="70" workbookViewId="0">
      <selection activeCell="A5" sqref="A5:F5"/>
    </sheetView>
  </sheetViews>
  <sheetFormatPr defaultColWidth="8.7109375" defaultRowHeight="12.75" outlineLevelCol="1"/>
  <cols>
    <col min="1" max="1" width="32" style="209" bestFit="1" customWidth="1"/>
    <col min="2" max="2" width="14.140625" style="209" customWidth="1"/>
    <col min="3" max="3" width="12.42578125" style="209" customWidth="1"/>
    <col min="4" max="4" width="10.85546875" style="209" customWidth="1"/>
    <col min="5" max="5" width="12.7109375" style="209" customWidth="1"/>
    <col min="6" max="6" width="14.5703125" style="209" customWidth="1"/>
    <col min="7" max="7" width="2.7109375" style="222" customWidth="1"/>
    <col min="8" max="8" width="14.140625" style="209" hidden="1" customWidth="1" outlineLevel="1"/>
    <col min="9" max="9" width="12.42578125" style="209" hidden="1" customWidth="1" outlineLevel="1"/>
    <col min="10" max="10" width="10.85546875" style="209" hidden="1" customWidth="1" outlineLevel="1"/>
    <col min="11" max="11" width="12.7109375" style="209" hidden="1" customWidth="1" outlineLevel="1"/>
    <col min="12" max="12" width="14.5703125" style="209" hidden="1" customWidth="1" outlineLevel="1"/>
    <col min="13" max="13" width="2.7109375" style="222" customWidth="1" collapsed="1"/>
    <col min="14" max="14" width="14.140625" style="209" customWidth="1"/>
    <col min="15" max="15" width="12.42578125" style="209" customWidth="1"/>
    <col min="16" max="16" width="10.85546875" style="209" customWidth="1"/>
    <col min="17" max="17" width="12.7109375" style="209" customWidth="1"/>
    <col min="18" max="18" width="14.5703125" style="209" customWidth="1"/>
    <col min="19" max="19" width="2.7109375" style="222" customWidth="1"/>
    <col min="20" max="20" width="14.140625" style="209" hidden="1" customWidth="1" outlineLevel="1"/>
    <col min="21" max="21" width="12.42578125" style="209" hidden="1" customWidth="1" outlineLevel="1"/>
    <col min="22" max="22" width="10.85546875" style="209" hidden="1" customWidth="1" outlineLevel="1"/>
    <col min="23" max="23" width="12.7109375" style="209" hidden="1" customWidth="1" outlineLevel="1"/>
    <col min="24" max="24" width="14.5703125" style="209" hidden="1" customWidth="1" outlineLevel="1"/>
    <col min="25" max="25" width="8.7109375" style="222" collapsed="1"/>
    <col min="26" max="46" width="8.7109375" style="222"/>
    <col min="47" max="16384" width="8.7109375" style="209"/>
  </cols>
  <sheetData>
    <row r="1" spans="1:25" ht="12.75" hidden="1" customHeight="1"/>
    <row r="2" spans="1:25" s="222" customFormat="1">
      <c r="A2" s="1630" t="s">
        <v>210</v>
      </c>
      <c r="B2" s="1631"/>
      <c r="C2" s="1631"/>
      <c r="D2" s="1631"/>
      <c r="E2" s="1631"/>
      <c r="F2" s="1631"/>
      <c r="G2" s="1631"/>
      <c r="H2" s="1631"/>
      <c r="I2" s="1631"/>
      <c r="J2" s="1631"/>
      <c r="K2" s="1631"/>
      <c r="L2" s="1631"/>
      <c r="M2" s="1632"/>
      <c r="N2" s="1631"/>
      <c r="O2" s="1631"/>
      <c r="P2" s="1631"/>
      <c r="Q2" s="1631"/>
      <c r="R2" s="1631"/>
      <c r="T2" s="1631"/>
      <c r="U2" s="1631"/>
      <c r="V2" s="1631"/>
      <c r="W2" s="1631"/>
      <c r="X2" s="1631"/>
    </row>
    <row r="3" spans="1:25" s="222" customFormat="1" ht="15.75">
      <c r="A3" s="1633"/>
      <c r="B3" s="1631"/>
      <c r="C3" s="1631"/>
      <c r="D3" s="1631"/>
      <c r="E3" s="1631"/>
      <c r="F3" s="1631"/>
      <c r="G3" s="1631"/>
      <c r="H3" s="1631"/>
      <c r="I3" s="1631"/>
      <c r="J3" s="1631"/>
      <c r="K3" s="1631"/>
      <c r="L3" s="1631"/>
      <c r="M3" s="1632"/>
      <c r="N3" s="1631"/>
      <c r="O3" s="1631"/>
      <c r="P3" s="1631"/>
      <c r="Q3" s="1631"/>
      <c r="R3" s="1631"/>
      <c r="T3" s="1631"/>
      <c r="U3" s="1631"/>
      <c r="V3" s="1631"/>
      <c r="W3" s="1631"/>
      <c r="X3" s="1631"/>
    </row>
    <row r="4" spans="1:25" s="222" customFormat="1" ht="80.25" customHeight="1">
      <c r="A4" s="2291" t="s">
        <v>211</v>
      </c>
      <c r="B4" s="2291"/>
      <c r="C4" s="2291"/>
      <c r="D4" s="2291"/>
      <c r="E4" s="2291"/>
      <c r="F4" s="2291"/>
      <c r="G4" s="258"/>
      <c r="H4" s="258"/>
      <c r="I4" s="258"/>
      <c r="J4" s="258"/>
      <c r="K4" s="258"/>
      <c r="L4" s="258"/>
      <c r="M4" s="258"/>
      <c r="N4" s="258"/>
      <c r="O4" s="258"/>
      <c r="P4" s="258"/>
      <c r="Q4" s="258"/>
      <c r="R4" s="258"/>
      <c r="S4" s="258"/>
      <c r="T4" s="258"/>
      <c r="U4" s="258"/>
      <c r="V4" s="258"/>
      <c r="W4" s="258"/>
      <c r="X4" s="258"/>
      <c r="Y4" s="258"/>
    </row>
    <row r="5" spans="1:25" ht="80.25" customHeight="1">
      <c r="A5" s="2295" t="s">
        <v>1921</v>
      </c>
      <c r="B5" s="2295"/>
      <c r="C5" s="2295"/>
      <c r="D5" s="2295"/>
      <c r="E5" s="2295"/>
      <c r="F5" s="2295"/>
      <c r="G5" s="258"/>
      <c r="H5" s="2295" t="s">
        <v>1922</v>
      </c>
      <c r="I5" s="2295"/>
      <c r="J5" s="2295"/>
      <c r="K5" s="2295"/>
      <c r="L5" s="2295"/>
      <c r="M5" s="258"/>
      <c r="N5" s="2295" t="s">
        <v>2237</v>
      </c>
      <c r="O5" s="2295"/>
      <c r="P5" s="2295"/>
      <c r="Q5" s="2295"/>
      <c r="R5" s="2295"/>
      <c r="S5" s="258"/>
      <c r="T5" s="2295" t="s">
        <v>1923</v>
      </c>
      <c r="U5" s="2295"/>
      <c r="V5" s="2295"/>
      <c r="W5" s="2295"/>
      <c r="X5" s="2295"/>
      <c r="Y5" s="258"/>
    </row>
    <row r="6" spans="1:25" s="222" customFormat="1" ht="18.75">
      <c r="A6" s="1634"/>
      <c r="B6" s="1634"/>
      <c r="C6" s="1634"/>
      <c r="D6" s="1634"/>
      <c r="E6" s="1634"/>
      <c r="F6" s="1634"/>
      <c r="G6" s="258"/>
      <c r="H6" s="258"/>
      <c r="I6" s="258"/>
      <c r="J6" s="258"/>
      <c r="K6" s="258"/>
      <c r="L6" s="258"/>
      <c r="M6" s="258"/>
      <c r="N6" s="258"/>
      <c r="O6" s="258"/>
      <c r="P6" s="258"/>
      <c r="Q6" s="258"/>
      <c r="R6" s="258"/>
      <c r="S6" s="258"/>
      <c r="T6" s="258"/>
      <c r="U6" s="258"/>
      <c r="V6" s="258"/>
      <c r="W6" s="258"/>
      <c r="X6" s="258"/>
      <c r="Y6" s="258"/>
    </row>
    <row r="7" spans="1:25" s="222" customFormat="1" ht="15">
      <c r="A7" s="221"/>
      <c r="B7" s="2297" t="s">
        <v>1919</v>
      </c>
      <c r="C7" s="2297"/>
      <c r="D7" s="2297"/>
      <c r="E7" s="2297"/>
      <c r="F7" s="2297"/>
      <c r="G7" s="258"/>
      <c r="H7" s="2297" t="s">
        <v>1919</v>
      </c>
      <c r="I7" s="2297"/>
      <c r="J7" s="2297"/>
      <c r="K7" s="2297"/>
      <c r="L7" s="2297"/>
      <c r="M7" s="258"/>
      <c r="N7" s="2297" t="s">
        <v>1919</v>
      </c>
      <c r="O7" s="2297"/>
      <c r="P7" s="2297"/>
      <c r="Q7" s="2297"/>
      <c r="R7" s="2297"/>
      <c r="S7" s="258"/>
      <c r="T7" s="2297" t="s">
        <v>1919</v>
      </c>
      <c r="U7" s="2297"/>
      <c r="V7" s="2297"/>
      <c r="W7" s="2297"/>
      <c r="X7" s="2297"/>
      <c r="Y7" s="258"/>
    </row>
    <row r="8" spans="1:25" ht="15.75">
      <c r="A8" s="214" t="s">
        <v>2238</v>
      </c>
      <c r="B8" s="215" t="s">
        <v>168</v>
      </c>
      <c r="C8" s="215" t="s">
        <v>213</v>
      </c>
      <c r="D8" s="215" t="s">
        <v>214</v>
      </c>
      <c r="E8" s="215" t="s">
        <v>171</v>
      </c>
      <c r="F8" s="215" t="s">
        <v>172</v>
      </c>
      <c r="G8" s="258"/>
      <c r="H8" s="1593" t="s">
        <v>168</v>
      </c>
      <c r="I8" s="1593" t="s">
        <v>213</v>
      </c>
      <c r="J8" s="1593" t="s">
        <v>214</v>
      </c>
      <c r="K8" s="1593" t="s">
        <v>171</v>
      </c>
      <c r="L8" s="1593" t="s">
        <v>172</v>
      </c>
      <c r="M8" s="258"/>
      <c r="N8" s="1593" t="s">
        <v>168</v>
      </c>
      <c r="O8" s="1593" t="s">
        <v>213</v>
      </c>
      <c r="P8" s="1593" t="s">
        <v>214</v>
      </c>
      <c r="Q8" s="1593" t="s">
        <v>171</v>
      </c>
      <c r="R8" s="1593" t="s">
        <v>172</v>
      </c>
      <c r="S8" s="258"/>
      <c r="T8" s="1593" t="s">
        <v>168</v>
      </c>
      <c r="U8" s="1593" t="s">
        <v>213</v>
      </c>
      <c r="V8" s="1593" t="s">
        <v>214</v>
      </c>
      <c r="W8" s="1593" t="s">
        <v>171</v>
      </c>
      <c r="X8" s="1593" t="s">
        <v>172</v>
      </c>
      <c r="Y8" s="258"/>
    </row>
    <row r="9" spans="1:25" ht="15.75">
      <c r="A9" s="1592" t="str">
        <f>CONCATENATE('0. Анкета'!$C$13," год")</f>
        <v>2019 год</v>
      </c>
      <c r="B9" s="1614"/>
      <c r="C9" s="1614"/>
      <c r="D9" s="1614"/>
      <c r="E9" s="1614"/>
      <c r="F9" s="217">
        <f t="shared" ref="F9:F12" si="0">SUM(B9:E9)</f>
        <v>0</v>
      </c>
      <c r="G9" s="258"/>
      <c r="H9" s="1615"/>
      <c r="I9" s="1615"/>
      <c r="J9" s="1615"/>
      <c r="K9" s="1615"/>
      <c r="L9" s="1595">
        <f t="shared" ref="L9:L12" si="1">SUM(H9:K9)</f>
        <v>0</v>
      </c>
      <c r="M9" s="258"/>
      <c r="N9" s="1615"/>
      <c r="O9" s="1615"/>
      <c r="P9" s="1615"/>
      <c r="Q9" s="1615"/>
      <c r="R9" s="1595">
        <f t="shared" ref="R9:R12" si="2">SUM(N9:Q9)</f>
        <v>0</v>
      </c>
      <c r="S9" s="258"/>
      <c r="T9" s="1594"/>
      <c r="U9" s="1594"/>
      <c r="V9" s="1594"/>
      <c r="W9" s="1594"/>
      <c r="X9" s="1595">
        <f t="shared" ref="X9:X12" si="3">SUM(T9:W9)</f>
        <v>0</v>
      </c>
      <c r="Y9" s="258"/>
    </row>
    <row r="10" spans="1:25" ht="15.75">
      <c r="A10" s="1592" t="str">
        <f>CONCATENATE('0. Анкета'!$C$13+1," год")</f>
        <v>2020 год</v>
      </c>
      <c r="B10" s="216"/>
      <c r="C10" s="216"/>
      <c r="D10" s="216"/>
      <c r="E10" s="216"/>
      <c r="F10" s="217">
        <f t="shared" si="0"/>
        <v>0</v>
      </c>
      <c r="G10" s="258"/>
      <c r="H10" s="1594"/>
      <c r="I10" s="1594"/>
      <c r="J10" s="1594"/>
      <c r="K10" s="1594"/>
      <c r="L10" s="1595">
        <f t="shared" si="1"/>
        <v>0</v>
      </c>
      <c r="M10" s="258"/>
      <c r="N10" s="1594"/>
      <c r="O10" s="1594"/>
      <c r="P10" s="1594"/>
      <c r="Q10" s="1594"/>
      <c r="R10" s="1595">
        <f t="shared" si="2"/>
        <v>0</v>
      </c>
      <c r="S10" s="258"/>
      <c r="T10" s="1594"/>
      <c r="U10" s="1594"/>
      <c r="V10" s="1594"/>
      <c r="W10" s="1594"/>
      <c r="X10" s="1595">
        <f t="shared" si="3"/>
        <v>0</v>
      </c>
      <c r="Y10" s="258"/>
    </row>
    <row r="11" spans="1:25" ht="15.75">
      <c r="A11" s="1592" t="str">
        <f>CONCATENATE('0. Анкета'!$C$13+2," год")</f>
        <v>2021 год</v>
      </c>
      <c r="B11" s="216"/>
      <c r="C11" s="216"/>
      <c r="D11" s="216"/>
      <c r="E11" s="216"/>
      <c r="F11" s="217">
        <f t="shared" si="0"/>
        <v>0</v>
      </c>
      <c r="G11" s="258"/>
      <c r="H11" s="1594"/>
      <c r="I11" s="1594"/>
      <c r="J11" s="1594"/>
      <c r="K11" s="1594"/>
      <c r="L11" s="1595">
        <f t="shared" si="1"/>
        <v>0</v>
      </c>
      <c r="M11" s="258"/>
      <c r="N11" s="1594"/>
      <c r="O11" s="1594"/>
      <c r="P11" s="1594"/>
      <c r="Q11" s="1594"/>
      <c r="R11" s="1595">
        <f t="shared" si="2"/>
        <v>0</v>
      </c>
      <c r="S11" s="258"/>
      <c r="T11" s="1594"/>
      <c r="U11" s="1594"/>
      <c r="V11" s="1594"/>
      <c r="W11" s="1594"/>
      <c r="X11" s="1595">
        <f t="shared" si="3"/>
        <v>0</v>
      </c>
      <c r="Y11" s="258"/>
    </row>
    <row r="12" spans="1:25" ht="15.75">
      <c r="A12" s="1592" t="str">
        <f>CONCATENATE('0. Анкета'!$C$13+3," год")</f>
        <v>2022 год</v>
      </c>
      <c r="B12" s="216"/>
      <c r="C12" s="216"/>
      <c r="D12" s="216"/>
      <c r="E12" s="216"/>
      <c r="F12" s="217">
        <f t="shared" si="0"/>
        <v>0</v>
      </c>
      <c r="G12" s="258"/>
      <c r="H12" s="1594"/>
      <c r="I12" s="1594"/>
      <c r="J12" s="1594"/>
      <c r="K12" s="1594"/>
      <c r="L12" s="1595">
        <f t="shared" si="1"/>
        <v>0</v>
      </c>
      <c r="M12" s="258"/>
      <c r="N12" s="1594"/>
      <c r="O12" s="1594"/>
      <c r="P12" s="1594"/>
      <c r="Q12" s="1594"/>
      <c r="R12" s="1595">
        <f t="shared" si="2"/>
        <v>0</v>
      </c>
      <c r="S12" s="258"/>
      <c r="T12" s="1594"/>
      <c r="U12" s="1594"/>
      <c r="V12" s="1594"/>
      <c r="W12" s="1594"/>
      <c r="X12" s="1595">
        <f t="shared" si="3"/>
        <v>0</v>
      </c>
      <c r="Y12" s="258"/>
    </row>
    <row r="13" spans="1:25" ht="15.75">
      <c r="A13" s="1592" t="str">
        <f>CONCATENATE('0. Анкета'!$C$13+4," год")</f>
        <v>2023 год</v>
      </c>
      <c r="B13" s="216"/>
      <c r="C13" s="216"/>
      <c r="D13" s="216"/>
      <c r="E13" s="216"/>
      <c r="F13" s="217">
        <f t="shared" ref="F13:F18" si="4">SUM(B13:E13)</f>
        <v>0</v>
      </c>
      <c r="G13" s="258"/>
      <c r="H13" s="1594"/>
      <c r="I13" s="1594"/>
      <c r="J13" s="1594"/>
      <c r="K13" s="1594"/>
      <c r="L13" s="1595">
        <f t="shared" ref="L13:L18" si="5">SUM(H13:K13)</f>
        <v>0</v>
      </c>
      <c r="M13" s="258"/>
      <c r="N13" s="1594"/>
      <c r="O13" s="1594"/>
      <c r="P13" s="1594"/>
      <c r="Q13" s="1594"/>
      <c r="R13" s="1595">
        <f t="shared" ref="R13:R18" si="6">SUM(N13:Q13)</f>
        <v>0</v>
      </c>
      <c r="S13" s="258"/>
      <c r="T13" s="1594"/>
      <c r="U13" s="1594"/>
      <c r="V13" s="1594"/>
      <c r="W13" s="1594"/>
      <c r="X13" s="1595">
        <f t="shared" ref="X13:X18" si="7">SUM(T13:W13)</f>
        <v>0</v>
      </c>
      <c r="Y13" s="258"/>
    </row>
    <row r="14" spans="1:25" ht="15.75" hidden="1">
      <c r="A14" s="1592" t="str">
        <f>CONCATENATE('0. Анкета'!$C$13+5," год")</f>
        <v>2024 год</v>
      </c>
      <c r="B14" s="216">
        <v>0</v>
      </c>
      <c r="C14" s="216">
        <v>0</v>
      </c>
      <c r="D14" s="216">
        <v>0</v>
      </c>
      <c r="E14" s="216">
        <v>0</v>
      </c>
      <c r="F14" s="217">
        <f t="shared" si="4"/>
        <v>0</v>
      </c>
      <c r="G14" s="258"/>
      <c r="H14" s="1594">
        <v>0</v>
      </c>
      <c r="I14" s="1594">
        <v>0</v>
      </c>
      <c r="J14" s="1594">
        <v>0</v>
      </c>
      <c r="K14" s="1594">
        <v>0</v>
      </c>
      <c r="L14" s="1595">
        <f t="shared" si="5"/>
        <v>0</v>
      </c>
      <c r="M14" s="258"/>
      <c r="N14" s="1594">
        <v>0</v>
      </c>
      <c r="O14" s="1594">
        <v>0</v>
      </c>
      <c r="P14" s="1594">
        <v>0</v>
      </c>
      <c r="Q14" s="1594">
        <v>0</v>
      </c>
      <c r="R14" s="1595">
        <f t="shared" si="6"/>
        <v>0</v>
      </c>
      <c r="S14" s="258"/>
      <c r="T14" s="1594">
        <v>0</v>
      </c>
      <c r="U14" s="1594">
        <v>0</v>
      </c>
      <c r="V14" s="1594">
        <v>0</v>
      </c>
      <c r="W14" s="1594">
        <v>0</v>
      </c>
      <c r="X14" s="1595">
        <f t="shared" si="7"/>
        <v>0</v>
      </c>
      <c r="Y14" s="258"/>
    </row>
    <row r="15" spans="1:25" ht="15.75" hidden="1">
      <c r="A15" s="1592" t="str">
        <f>CONCATENATE('0. Анкета'!$C$13+6," год")</f>
        <v>2025 год</v>
      </c>
      <c r="B15" s="216">
        <v>0</v>
      </c>
      <c r="C15" s="216">
        <v>0</v>
      </c>
      <c r="D15" s="216">
        <v>0</v>
      </c>
      <c r="E15" s="216">
        <v>0</v>
      </c>
      <c r="F15" s="217">
        <f t="shared" si="4"/>
        <v>0</v>
      </c>
      <c r="G15" s="258"/>
      <c r="H15" s="1594">
        <v>0</v>
      </c>
      <c r="I15" s="1594">
        <v>0</v>
      </c>
      <c r="J15" s="1594">
        <v>0</v>
      </c>
      <c r="K15" s="1594">
        <v>0</v>
      </c>
      <c r="L15" s="1595">
        <f t="shared" si="5"/>
        <v>0</v>
      </c>
      <c r="M15" s="258"/>
      <c r="N15" s="1594">
        <v>0</v>
      </c>
      <c r="O15" s="1594">
        <v>0</v>
      </c>
      <c r="P15" s="1594">
        <v>0</v>
      </c>
      <c r="Q15" s="1594">
        <v>0</v>
      </c>
      <c r="R15" s="1595">
        <f t="shared" si="6"/>
        <v>0</v>
      </c>
      <c r="S15" s="258"/>
      <c r="T15" s="1594">
        <v>0</v>
      </c>
      <c r="U15" s="1594">
        <v>0</v>
      </c>
      <c r="V15" s="1594">
        <v>0</v>
      </c>
      <c r="W15" s="1594">
        <v>0</v>
      </c>
      <c r="X15" s="1595">
        <f t="shared" si="7"/>
        <v>0</v>
      </c>
      <c r="Y15" s="258"/>
    </row>
    <row r="16" spans="1:25" ht="15.75" hidden="1">
      <c r="A16" s="1592" t="str">
        <f>CONCATENATE('0. Анкета'!$C$13+7," год")</f>
        <v>2026 год</v>
      </c>
      <c r="B16" s="216">
        <v>0</v>
      </c>
      <c r="C16" s="216">
        <v>0</v>
      </c>
      <c r="D16" s="216">
        <v>0</v>
      </c>
      <c r="E16" s="216">
        <v>0</v>
      </c>
      <c r="F16" s="217">
        <f t="shared" si="4"/>
        <v>0</v>
      </c>
      <c r="G16" s="258"/>
      <c r="H16" s="1594">
        <v>0</v>
      </c>
      <c r="I16" s="1594">
        <v>0</v>
      </c>
      <c r="J16" s="1594">
        <v>0</v>
      </c>
      <c r="K16" s="1594">
        <v>0</v>
      </c>
      <c r="L16" s="1595">
        <f t="shared" si="5"/>
        <v>0</v>
      </c>
      <c r="M16" s="258"/>
      <c r="N16" s="1594">
        <v>0</v>
      </c>
      <c r="O16" s="1594">
        <v>0</v>
      </c>
      <c r="P16" s="1594">
        <v>0</v>
      </c>
      <c r="Q16" s="1594">
        <v>0</v>
      </c>
      <c r="R16" s="1595">
        <f t="shared" si="6"/>
        <v>0</v>
      </c>
      <c r="S16" s="258"/>
      <c r="T16" s="1594">
        <v>0</v>
      </c>
      <c r="U16" s="1594">
        <v>0</v>
      </c>
      <c r="V16" s="1594">
        <v>0</v>
      </c>
      <c r="W16" s="1594">
        <v>0</v>
      </c>
      <c r="X16" s="1595">
        <f t="shared" si="7"/>
        <v>0</v>
      </c>
      <c r="Y16" s="258"/>
    </row>
    <row r="17" spans="1:25" ht="15.75" hidden="1">
      <c r="A17" s="1592" t="str">
        <f>CONCATENATE('0. Анкета'!$C$13+8," год")</f>
        <v>2027 год</v>
      </c>
      <c r="B17" s="216">
        <v>0</v>
      </c>
      <c r="C17" s="216">
        <v>0</v>
      </c>
      <c r="D17" s="216">
        <v>0</v>
      </c>
      <c r="E17" s="216">
        <v>0</v>
      </c>
      <c r="F17" s="217">
        <f t="shared" si="4"/>
        <v>0</v>
      </c>
      <c r="G17" s="258"/>
      <c r="H17" s="1594">
        <v>0</v>
      </c>
      <c r="I17" s="1594">
        <v>0</v>
      </c>
      <c r="J17" s="1594">
        <v>0</v>
      </c>
      <c r="K17" s="1594">
        <v>0</v>
      </c>
      <c r="L17" s="1595">
        <f t="shared" si="5"/>
        <v>0</v>
      </c>
      <c r="M17" s="258"/>
      <c r="N17" s="1594">
        <v>0</v>
      </c>
      <c r="O17" s="1594">
        <v>0</v>
      </c>
      <c r="P17" s="1594">
        <v>0</v>
      </c>
      <c r="Q17" s="1594">
        <v>0</v>
      </c>
      <c r="R17" s="1595">
        <f t="shared" si="6"/>
        <v>0</v>
      </c>
      <c r="S17" s="258"/>
      <c r="T17" s="1594">
        <v>0</v>
      </c>
      <c r="U17" s="1594">
        <v>0</v>
      </c>
      <c r="V17" s="1594">
        <v>0</v>
      </c>
      <c r="W17" s="1594">
        <v>0</v>
      </c>
      <c r="X17" s="1595">
        <f t="shared" si="7"/>
        <v>0</v>
      </c>
      <c r="Y17" s="258"/>
    </row>
    <row r="18" spans="1:25" ht="15.75" hidden="1">
      <c r="A18" s="1592" t="str">
        <f>CONCATENATE('0. Анкета'!$C$13+9," год")</f>
        <v>2028 год</v>
      </c>
      <c r="B18" s="216">
        <v>0</v>
      </c>
      <c r="C18" s="216">
        <v>0</v>
      </c>
      <c r="D18" s="216">
        <v>0</v>
      </c>
      <c r="E18" s="216">
        <v>0</v>
      </c>
      <c r="F18" s="217">
        <f t="shared" si="4"/>
        <v>0</v>
      </c>
      <c r="G18" s="258"/>
      <c r="H18" s="1594">
        <v>0</v>
      </c>
      <c r="I18" s="1594">
        <v>0</v>
      </c>
      <c r="J18" s="1594">
        <v>0</v>
      </c>
      <c r="K18" s="1594">
        <v>0</v>
      </c>
      <c r="L18" s="1595">
        <f t="shared" si="5"/>
        <v>0</v>
      </c>
      <c r="M18" s="258"/>
      <c r="N18" s="1594">
        <v>0</v>
      </c>
      <c r="O18" s="1594">
        <v>0</v>
      </c>
      <c r="P18" s="1594">
        <v>0</v>
      </c>
      <c r="Q18" s="1594">
        <v>0</v>
      </c>
      <c r="R18" s="1595">
        <f t="shared" si="6"/>
        <v>0</v>
      </c>
      <c r="S18" s="258"/>
      <c r="T18" s="1594">
        <v>0</v>
      </c>
      <c r="U18" s="1594">
        <v>0</v>
      </c>
      <c r="V18" s="1594">
        <v>0</v>
      </c>
      <c r="W18" s="1594">
        <v>0</v>
      </c>
      <c r="X18" s="1595">
        <f t="shared" si="7"/>
        <v>0</v>
      </c>
      <c r="Y18" s="258"/>
    </row>
    <row r="19" spans="1:25" s="222" customFormat="1">
      <c r="A19" s="1635"/>
      <c r="B19" s="1635"/>
      <c r="C19" s="221"/>
      <c r="D19" s="221"/>
      <c r="E19" s="221"/>
      <c r="F19" s="221"/>
      <c r="G19" s="258"/>
      <c r="H19" s="1635"/>
      <c r="I19" s="221"/>
      <c r="J19" s="221"/>
      <c r="K19" s="221"/>
      <c r="L19" s="221"/>
      <c r="M19" s="258"/>
      <c r="N19" s="1635"/>
      <c r="O19" s="221"/>
      <c r="P19" s="221"/>
      <c r="Q19" s="221"/>
      <c r="R19" s="221"/>
      <c r="S19" s="258"/>
      <c r="T19" s="1635"/>
      <c r="U19" s="221"/>
      <c r="V19" s="221"/>
      <c r="W19" s="221"/>
      <c r="X19" s="221"/>
      <c r="Y19" s="258"/>
    </row>
    <row r="20" spans="1:25" s="222" customFormat="1" ht="64.900000000000006" customHeight="1">
      <c r="A20" s="2291" t="s">
        <v>215</v>
      </c>
      <c r="B20" s="2291"/>
      <c r="C20" s="2291"/>
      <c r="D20" s="2291"/>
      <c r="E20" s="2291"/>
      <c r="F20" s="2291"/>
      <c r="G20" s="1636"/>
      <c r="H20" s="1636"/>
      <c r="I20" s="1636"/>
      <c r="J20" s="1636"/>
      <c r="K20" s="1636"/>
      <c r="L20" s="1636"/>
      <c r="M20" s="1636"/>
      <c r="N20" s="1636"/>
      <c r="O20" s="1636"/>
      <c r="P20" s="1636"/>
      <c r="Q20" s="1636"/>
      <c r="R20" s="1636"/>
      <c r="T20" s="1636"/>
      <c r="U20" s="1636"/>
      <c r="V20" s="1636"/>
      <c r="W20" s="1636"/>
      <c r="X20" s="1636"/>
    </row>
    <row r="21" spans="1:25" s="222" customFormat="1" ht="15">
      <c r="A21" s="221"/>
      <c r="B21" s="2297" t="s">
        <v>1920</v>
      </c>
      <c r="C21" s="2297"/>
      <c r="D21" s="2297"/>
      <c r="E21" s="2297"/>
      <c r="F21" s="2297"/>
      <c r="G21" s="221"/>
      <c r="H21" s="2297" t="s">
        <v>1920</v>
      </c>
      <c r="I21" s="2297"/>
      <c r="J21" s="2297"/>
      <c r="K21" s="2297"/>
      <c r="L21" s="2297"/>
      <c r="M21" s="221"/>
      <c r="N21" s="2297" t="s">
        <v>1920</v>
      </c>
      <c r="O21" s="2297"/>
      <c r="P21" s="2297"/>
      <c r="Q21" s="2297"/>
      <c r="R21" s="2297"/>
      <c r="T21" s="2297" t="s">
        <v>1920</v>
      </c>
      <c r="U21" s="2297"/>
      <c r="V21" s="2297"/>
      <c r="W21" s="2297"/>
      <c r="X21" s="2297"/>
    </row>
    <row r="22" spans="1:25" ht="15.75">
      <c r="A22" s="214" t="s">
        <v>2238</v>
      </c>
      <c r="B22" s="215" t="s">
        <v>168</v>
      </c>
      <c r="C22" s="215" t="s">
        <v>213</v>
      </c>
      <c r="D22" s="215" t="s">
        <v>214</v>
      </c>
      <c r="E22" s="215" t="s">
        <v>171</v>
      </c>
      <c r="F22" s="215" t="s">
        <v>172</v>
      </c>
      <c r="G22" s="221"/>
      <c r="H22" s="1593" t="s">
        <v>168</v>
      </c>
      <c r="I22" s="1593" t="s">
        <v>213</v>
      </c>
      <c r="J22" s="1593" t="s">
        <v>214</v>
      </c>
      <c r="K22" s="1593" t="s">
        <v>171</v>
      </c>
      <c r="L22" s="1593" t="s">
        <v>172</v>
      </c>
      <c r="M22" s="221"/>
      <c r="N22" s="1593" t="s">
        <v>168</v>
      </c>
      <c r="O22" s="1593" t="s">
        <v>213</v>
      </c>
      <c r="P22" s="1593" t="s">
        <v>214</v>
      </c>
      <c r="Q22" s="1593" t="s">
        <v>171</v>
      </c>
      <c r="R22" s="1593" t="s">
        <v>172</v>
      </c>
      <c r="T22" s="1593" t="s">
        <v>168</v>
      </c>
      <c r="U22" s="1593" t="s">
        <v>213</v>
      </c>
      <c r="V22" s="1593" t="s">
        <v>214</v>
      </c>
      <c r="W22" s="1593" t="s">
        <v>171</v>
      </c>
      <c r="X22" s="1593" t="s">
        <v>172</v>
      </c>
    </row>
    <row r="23" spans="1:25" ht="15.75">
      <c r="A23" s="1592" t="str">
        <f>CONCATENATE('0. Анкета'!$C$13," год")</f>
        <v>2019 год</v>
      </c>
      <c r="B23" s="1614"/>
      <c r="C23" s="1614"/>
      <c r="D23" s="1614"/>
      <c r="E23" s="1614"/>
      <c r="F23" s="217">
        <f t="shared" ref="F23:F32" si="8">SUM(B23:E23)</f>
        <v>0</v>
      </c>
      <c r="G23" s="221"/>
      <c r="H23" s="1615"/>
      <c r="I23" s="1615"/>
      <c r="J23" s="1615"/>
      <c r="K23" s="1615"/>
      <c r="L23" s="1595">
        <f t="shared" ref="L23:L32" si="9">SUM(H23:K23)</f>
        <v>0</v>
      </c>
      <c r="M23" s="221"/>
      <c r="N23" s="1615"/>
      <c r="O23" s="1615"/>
      <c r="P23" s="1615"/>
      <c r="Q23" s="1615"/>
      <c r="R23" s="1595">
        <f t="shared" ref="R23:R32" si="10">SUM(N23:Q23)</f>
        <v>0</v>
      </c>
      <c r="T23" s="1594"/>
      <c r="U23" s="1594"/>
      <c r="V23" s="1594"/>
      <c r="W23" s="1594"/>
      <c r="X23" s="1595">
        <f t="shared" ref="X23:X32" si="11">SUM(T23:W23)</f>
        <v>0</v>
      </c>
    </row>
    <row r="24" spans="1:25" ht="15.75">
      <c r="A24" s="1592" t="str">
        <f>CONCATENATE('0. Анкета'!$C$13+1," год")</f>
        <v>2020 год</v>
      </c>
      <c r="B24" s="216"/>
      <c r="C24" s="216"/>
      <c r="D24" s="216"/>
      <c r="E24" s="216"/>
      <c r="F24" s="217">
        <f t="shared" si="8"/>
        <v>0</v>
      </c>
      <c r="G24" s="221"/>
      <c r="H24" s="1594"/>
      <c r="I24" s="1594"/>
      <c r="J24" s="1594"/>
      <c r="K24" s="1594"/>
      <c r="L24" s="1595">
        <f t="shared" si="9"/>
        <v>0</v>
      </c>
      <c r="M24" s="221"/>
      <c r="N24" s="1594"/>
      <c r="O24" s="1594"/>
      <c r="P24" s="1594"/>
      <c r="Q24" s="1594"/>
      <c r="R24" s="1595">
        <f t="shared" si="10"/>
        <v>0</v>
      </c>
      <c r="T24" s="1594"/>
      <c r="U24" s="1594"/>
      <c r="V24" s="1594"/>
      <c r="W24" s="1594"/>
      <c r="X24" s="1595">
        <f t="shared" si="11"/>
        <v>0</v>
      </c>
    </row>
    <row r="25" spans="1:25" ht="15" customHeight="1">
      <c r="A25" s="1592" t="str">
        <f>CONCATENATE('0. Анкета'!$C$13+2," год")</f>
        <v>2021 год</v>
      </c>
      <c r="B25" s="216"/>
      <c r="C25" s="216"/>
      <c r="D25" s="216"/>
      <c r="E25" s="216"/>
      <c r="F25" s="217">
        <f t="shared" si="8"/>
        <v>0</v>
      </c>
      <c r="G25" s="221"/>
      <c r="H25" s="1594"/>
      <c r="I25" s="1594"/>
      <c r="J25" s="1594"/>
      <c r="K25" s="1594"/>
      <c r="L25" s="1595">
        <f t="shared" si="9"/>
        <v>0</v>
      </c>
      <c r="M25" s="221"/>
      <c r="N25" s="1594"/>
      <c r="O25" s="1594"/>
      <c r="P25" s="1594"/>
      <c r="Q25" s="1594"/>
      <c r="R25" s="1595">
        <f t="shared" si="10"/>
        <v>0</v>
      </c>
      <c r="T25" s="1594"/>
      <c r="U25" s="1594"/>
      <c r="V25" s="1594"/>
      <c r="W25" s="1594"/>
      <c r="X25" s="1595">
        <f t="shared" si="11"/>
        <v>0</v>
      </c>
    </row>
    <row r="26" spans="1:25" ht="15" customHeight="1">
      <c r="A26" s="1592" t="str">
        <f>CONCATENATE('0. Анкета'!$C$13+3," год")</f>
        <v>2022 год</v>
      </c>
      <c r="B26" s="216"/>
      <c r="C26" s="216"/>
      <c r="D26" s="216"/>
      <c r="E26" s="216"/>
      <c r="F26" s="217">
        <f t="shared" si="8"/>
        <v>0</v>
      </c>
      <c r="G26" s="221"/>
      <c r="H26" s="1594"/>
      <c r="I26" s="1594"/>
      <c r="J26" s="1594"/>
      <c r="K26" s="1594"/>
      <c r="L26" s="1595">
        <f t="shared" si="9"/>
        <v>0</v>
      </c>
      <c r="M26" s="221"/>
      <c r="N26" s="1594"/>
      <c r="O26" s="1594"/>
      <c r="P26" s="1594"/>
      <c r="Q26" s="1594"/>
      <c r="R26" s="1595">
        <f t="shared" si="10"/>
        <v>0</v>
      </c>
      <c r="T26" s="1594"/>
      <c r="U26" s="1594"/>
      <c r="V26" s="1594"/>
      <c r="W26" s="1594"/>
      <c r="X26" s="1595">
        <f t="shared" si="11"/>
        <v>0</v>
      </c>
    </row>
    <row r="27" spans="1:25" ht="15" customHeight="1">
      <c r="A27" s="1592" t="str">
        <f>CONCATENATE('0. Анкета'!$C$13+4," год")</f>
        <v>2023 год</v>
      </c>
      <c r="B27" s="216"/>
      <c r="C27" s="216"/>
      <c r="D27" s="216"/>
      <c r="E27" s="216"/>
      <c r="F27" s="217">
        <f t="shared" si="8"/>
        <v>0</v>
      </c>
      <c r="G27" s="221"/>
      <c r="H27" s="1594"/>
      <c r="I27" s="1594"/>
      <c r="J27" s="1594"/>
      <c r="K27" s="1594"/>
      <c r="L27" s="1595">
        <f t="shared" si="9"/>
        <v>0</v>
      </c>
      <c r="M27" s="221"/>
      <c r="N27" s="1594"/>
      <c r="O27" s="1594"/>
      <c r="P27" s="1594"/>
      <c r="Q27" s="1594"/>
      <c r="R27" s="1595">
        <f t="shared" si="10"/>
        <v>0</v>
      </c>
      <c r="T27" s="1594"/>
      <c r="U27" s="1594"/>
      <c r="V27" s="1594"/>
      <c r="W27" s="1594"/>
      <c r="X27" s="1595">
        <f t="shared" si="11"/>
        <v>0</v>
      </c>
    </row>
    <row r="28" spans="1:25" ht="15" hidden="1" customHeight="1">
      <c r="A28" s="1592" t="str">
        <f>CONCATENATE('0. Анкета'!$C$13+5," год")</f>
        <v>2024 год</v>
      </c>
      <c r="B28" s="216">
        <v>2025</v>
      </c>
      <c r="C28" s="216">
        <v>0</v>
      </c>
      <c r="D28" s="216">
        <v>0</v>
      </c>
      <c r="E28" s="216">
        <v>0</v>
      </c>
      <c r="F28" s="217">
        <f t="shared" si="8"/>
        <v>2025</v>
      </c>
      <c r="G28" s="221"/>
      <c r="H28" s="1594">
        <f t="shared" ref="H28:H32" si="12">B28+0.5</f>
        <v>2025.5</v>
      </c>
      <c r="I28" s="1594">
        <v>0</v>
      </c>
      <c r="J28" s="1594">
        <v>0</v>
      </c>
      <c r="K28" s="1594">
        <v>0</v>
      </c>
      <c r="L28" s="1595">
        <f t="shared" si="9"/>
        <v>2025.5</v>
      </c>
      <c r="M28" s="221"/>
      <c r="N28" s="1594">
        <f t="shared" ref="N28:N32" si="13">H28+0.5</f>
        <v>2026</v>
      </c>
      <c r="O28" s="1594">
        <v>0</v>
      </c>
      <c r="P28" s="1594">
        <v>0</v>
      </c>
      <c r="Q28" s="1594">
        <v>0</v>
      </c>
      <c r="R28" s="1595">
        <f t="shared" si="10"/>
        <v>2026</v>
      </c>
      <c r="T28" s="1594">
        <f t="shared" ref="T28:T32" si="14">N28+0.5</f>
        <v>2026.5</v>
      </c>
      <c r="U28" s="1594">
        <v>0</v>
      </c>
      <c r="V28" s="1594">
        <v>0</v>
      </c>
      <c r="W28" s="1594">
        <v>0</v>
      </c>
      <c r="X28" s="1595">
        <f t="shared" si="11"/>
        <v>2026.5</v>
      </c>
    </row>
    <row r="29" spans="1:25" ht="15" hidden="1" customHeight="1">
      <c r="A29" s="1592" t="str">
        <f>CONCATENATE('0. Анкета'!$C$13+6," год")</f>
        <v>2025 год</v>
      </c>
      <c r="B29" s="216">
        <v>2026</v>
      </c>
      <c r="C29" s="216">
        <v>0</v>
      </c>
      <c r="D29" s="216">
        <v>0</v>
      </c>
      <c r="E29" s="216">
        <v>0</v>
      </c>
      <c r="F29" s="217">
        <f t="shared" si="8"/>
        <v>2026</v>
      </c>
      <c r="G29" s="221"/>
      <c r="H29" s="1594">
        <f t="shared" si="12"/>
        <v>2026.5</v>
      </c>
      <c r="I29" s="1594">
        <v>0</v>
      </c>
      <c r="J29" s="1594">
        <v>0</v>
      </c>
      <c r="K29" s="1594">
        <v>0</v>
      </c>
      <c r="L29" s="1595">
        <f t="shared" si="9"/>
        <v>2026.5</v>
      </c>
      <c r="M29" s="221"/>
      <c r="N29" s="1594">
        <f t="shared" si="13"/>
        <v>2027</v>
      </c>
      <c r="O29" s="1594">
        <v>0</v>
      </c>
      <c r="P29" s="1594">
        <v>0</v>
      </c>
      <c r="Q29" s="1594">
        <v>0</v>
      </c>
      <c r="R29" s="1595">
        <f t="shared" si="10"/>
        <v>2027</v>
      </c>
      <c r="T29" s="1594">
        <f t="shared" si="14"/>
        <v>2027.5</v>
      </c>
      <c r="U29" s="1594">
        <v>0</v>
      </c>
      <c r="V29" s="1594">
        <v>0</v>
      </c>
      <c r="W29" s="1594">
        <v>0</v>
      </c>
      <c r="X29" s="1595">
        <f t="shared" si="11"/>
        <v>2027.5</v>
      </c>
    </row>
    <row r="30" spans="1:25" ht="15" hidden="1" customHeight="1">
      <c r="A30" s="1592" t="str">
        <f>CONCATENATE('0. Анкета'!$C$13+7," год")</f>
        <v>2026 год</v>
      </c>
      <c r="B30" s="216">
        <v>2027</v>
      </c>
      <c r="C30" s="216">
        <v>0</v>
      </c>
      <c r="D30" s="216">
        <v>0</v>
      </c>
      <c r="E30" s="216">
        <v>0</v>
      </c>
      <c r="F30" s="217">
        <f t="shared" si="8"/>
        <v>2027</v>
      </c>
      <c r="G30" s="221"/>
      <c r="H30" s="1594">
        <f t="shared" si="12"/>
        <v>2027.5</v>
      </c>
      <c r="I30" s="1594">
        <v>0</v>
      </c>
      <c r="J30" s="1594">
        <v>0</v>
      </c>
      <c r="K30" s="1594">
        <v>0</v>
      </c>
      <c r="L30" s="1595">
        <f t="shared" si="9"/>
        <v>2027.5</v>
      </c>
      <c r="M30" s="221"/>
      <c r="N30" s="1594">
        <f t="shared" si="13"/>
        <v>2028</v>
      </c>
      <c r="O30" s="1594">
        <v>0</v>
      </c>
      <c r="P30" s="1594">
        <v>0</v>
      </c>
      <c r="Q30" s="1594">
        <v>0</v>
      </c>
      <c r="R30" s="1595">
        <f t="shared" si="10"/>
        <v>2028</v>
      </c>
      <c r="T30" s="1594">
        <f t="shared" si="14"/>
        <v>2028.5</v>
      </c>
      <c r="U30" s="1594">
        <v>0</v>
      </c>
      <c r="V30" s="1594">
        <v>0</v>
      </c>
      <c r="W30" s="1594">
        <v>0</v>
      </c>
      <c r="X30" s="1595">
        <f t="shared" si="11"/>
        <v>2028.5</v>
      </c>
    </row>
    <row r="31" spans="1:25" ht="15" hidden="1" customHeight="1">
      <c r="A31" s="1592" t="str">
        <f>CONCATENATE('0. Анкета'!$C$13+8," год")</f>
        <v>2027 год</v>
      </c>
      <c r="B31" s="216">
        <v>2028</v>
      </c>
      <c r="C31" s="216">
        <v>0</v>
      </c>
      <c r="D31" s="216">
        <v>0</v>
      </c>
      <c r="E31" s="216">
        <v>0</v>
      </c>
      <c r="F31" s="217">
        <f t="shared" si="8"/>
        <v>2028</v>
      </c>
      <c r="G31" s="221"/>
      <c r="H31" s="1594">
        <f t="shared" si="12"/>
        <v>2028.5</v>
      </c>
      <c r="I31" s="1594">
        <v>0</v>
      </c>
      <c r="J31" s="1594">
        <v>0</v>
      </c>
      <c r="K31" s="1594">
        <v>0</v>
      </c>
      <c r="L31" s="1595">
        <f t="shared" si="9"/>
        <v>2028.5</v>
      </c>
      <c r="M31" s="221"/>
      <c r="N31" s="1594">
        <f t="shared" si="13"/>
        <v>2029</v>
      </c>
      <c r="O31" s="1594">
        <v>0</v>
      </c>
      <c r="P31" s="1594">
        <v>0</v>
      </c>
      <c r="Q31" s="1594">
        <v>0</v>
      </c>
      <c r="R31" s="1595">
        <f t="shared" si="10"/>
        <v>2029</v>
      </c>
      <c r="T31" s="1594">
        <f t="shared" si="14"/>
        <v>2029.5</v>
      </c>
      <c r="U31" s="1594">
        <v>0</v>
      </c>
      <c r="V31" s="1594">
        <v>0</v>
      </c>
      <c r="W31" s="1594">
        <v>0</v>
      </c>
      <c r="X31" s="1595">
        <f t="shared" si="11"/>
        <v>2029.5</v>
      </c>
    </row>
    <row r="32" spans="1:25" ht="15" hidden="1" customHeight="1">
      <c r="A32" s="1592" t="str">
        <f>CONCATENATE('0. Анкета'!$C$13+9," год")</f>
        <v>2028 год</v>
      </c>
      <c r="B32" s="216">
        <v>2029</v>
      </c>
      <c r="C32" s="216">
        <v>0</v>
      </c>
      <c r="D32" s="216">
        <v>0</v>
      </c>
      <c r="E32" s="216">
        <v>0</v>
      </c>
      <c r="F32" s="217">
        <f t="shared" si="8"/>
        <v>2029</v>
      </c>
      <c r="G32" s="221"/>
      <c r="H32" s="1594">
        <f t="shared" si="12"/>
        <v>2029.5</v>
      </c>
      <c r="I32" s="1594">
        <v>0</v>
      </c>
      <c r="J32" s="1594">
        <v>0</v>
      </c>
      <c r="K32" s="1594">
        <v>0</v>
      </c>
      <c r="L32" s="1595">
        <f t="shared" si="9"/>
        <v>2029.5</v>
      </c>
      <c r="M32" s="221"/>
      <c r="N32" s="1594">
        <f t="shared" si="13"/>
        <v>2030</v>
      </c>
      <c r="O32" s="1594">
        <v>0</v>
      </c>
      <c r="P32" s="1594">
        <v>0</v>
      </c>
      <c r="Q32" s="1594">
        <v>0</v>
      </c>
      <c r="R32" s="1595">
        <f t="shared" si="10"/>
        <v>2030</v>
      </c>
      <c r="T32" s="1594">
        <f t="shared" si="14"/>
        <v>2030.5</v>
      </c>
      <c r="U32" s="1594">
        <v>0</v>
      </c>
      <c r="V32" s="1594">
        <v>0</v>
      </c>
      <c r="W32" s="1594">
        <v>0</v>
      </c>
      <c r="X32" s="1595">
        <f t="shared" si="11"/>
        <v>2030.5</v>
      </c>
    </row>
    <row r="33" spans="1:24" s="222" customFormat="1" ht="15" customHeight="1">
      <c r="A33" s="219"/>
      <c r="B33" s="220"/>
      <c r="C33" s="220"/>
      <c r="D33" s="220"/>
      <c r="E33" s="220"/>
      <c r="F33" s="220"/>
      <c r="G33" s="221"/>
      <c r="H33" s="220"/>
      <c r="I33" s="220"/>
      <c r="J33" s="220"/>
      <c r="K33" s="220"/>
      <c r="L33" s="220"/>
      <c r="M33" s="221"/>
      <c r="N33" s="220"/>
      <c r="O33" s="220"/>
      <c r="P33" s="220"/>
      <c r="Q33" s="220"/>
      <c r="R33" s="220"/>
      <c r="T33" s="220"/>
      <c r="U33" s="220"/>
      <c r="V33" s="220"/>
      <c r="W33" s="220"/>
      <c r="X33" s="220"/>
    </row>
    <row r="34" spans="1:24" s="222" customFormat="1" ht="15" customHeight="1">
      <c r="A34" s="219"/>
      <c r="B34" s="220"/>
      <c r="C34" s="220"/>
      <c r="D34" s="220"/>
      <c r="E34" s="220"/>
      <c r="F34" s="220"/>
      <c r="G34" s="221"/>
      <c r="H34" s="220"/>
      <c r="I34" s="220"/>
      <c r="J34" s="220"/>
      <c r="K34" s="220"/>
      <c r="L34" s="220"/>
      <c r="M34" s="221"/>
      <c r="N34" s="220"/>
      <c r="O34" s="220"/>
      <c r="P34" s="220"/>
      <c r="Q34" s="220"/>
      <c r="R34" s="220"/>
      <c r="T34" s="220"/>
      <c r="U34" s="220"/>
      <c r="V34" s="220"/>
      <c r="W34" s="220"/>
      <c r="X34" s="220"/>
    </row>
    <row r="35" spans="1:24" s="222" customFormat="1" ht="18.75">
      <c r="A35" s="2291" t="s">
        <v>216</v>
      </c>
      <c r="B35" s="2291"/>
      <c r="C35" s="2291"/>
      <c r="D35" s="2291"/>
      <c r="E35" s="2291"/>
      <c r="F35" s="2291"/>
      <c r="G35" s="1636"/>
      <c r="H35" s="1636"/>
      <c r="I35" s="1636"/>
      <c r="J35" s="1636"/>
      <c r="K35" s="1636"/>
      <c r="L35" s="1636"/>
      <c r="M35" s="1636"/>
      <c r="N35" s="1636"/>
      <c r="O35" s="1636"/>
      <c r="P35" s="1636"/>
      <c r="Q35" s="1636"/>
      <c r="R35" s="1636"/>
      <c r="T35" s="1636"/>
      <c r="U35" s="1636"/>
      <c r="V35" s="1636"/>
      <c r="W35" s="1636"/>
      <c r="X35" s="1636"/>
    </row>
    <row r="36" spans="1:24" s="222" customFormat="1">
      <c r="A36" s="221"/>
      <c r="B36" s="221"/>
      <c r="C36" s="221"/>
      <c r="D36" s="221"/>
      <c r="E36" s="221"/>
      <c r="F36" s="221"/>
      <c r="G36" s="221"/>
      <c r="H36" s="221"/>
      <c r="I36" s="221"/>
      <c r="J36" s="221"/>
      <c r="K36" s="221"/>
      <c r="L36" s="221"/>
      <c r="M36" s="221"/>
      <c r="N36" s="221"/>
      <c r="O36" s="221"/>
      <c r="P36" s="221"/>
      <c r="Q36" s="221"/>
      <c r="R36" s="221"/>
      <c r="T36" s="221"/>
      <c r="U36" s="221"/>
      <c r="V36" s="221"/>
      <c r="W36" s="221"/>
      <c r="X36" s="221"/>
    </row>
    <row r="37" spans="1:24" ht="15.75">
      <c r="A37" s="214" t="s">
        <v>2238</v>
      </c>
      <c r="B37" s="215" t="s">
        <v>168</v>
      </c>
      <c r="C37" s="215" t="s">
        <v>213</v>
      </c>
      <c r="D37" s="215" t="s">
        <v>214</v>
      </c>
      <c r="E37" s="215" t="s">
        <v>171</v>
      </c>
      <c r="F37" s="215" t="s">
        <v>172</v>
      </c>
      <c r="G37" s="258"/>
      <c r="H37" s="1593" t="s">
        <v>168</v>
      </c>
      <c r="I37" s="1593" t="s">
        <v>213</v>
      </c>
      <c r="J37" s="1593" t="s">
        <v>214</v>
      </c>
      <c r="K37" s="1593" t="s">
        <v>171</v>
      </c>
      <c r="L37" s="1593" t="s">
        <v>172</v>
      </c>
      <c r="M37" s="221"/>
      <c r="N37" s="1593" t="s">
        <v>168</v>
      </c>
      <c r="O37" s="1593" t="s">
        <v>213</v>
      </c>
      <c r="P37" s="1593" t="s">
        <v>214</v>
      </c>
      <c r="Q37" s="1593" t="s">
        <v>171</v>
      </c>
      <c r="R37" s="1593" t="s">
        <v>172</v>
      </c>
      <c r="T37" s="1593" t="s">
        <v>168</v>
      </c>
      <c r="U37" s="1593" t="s">
        <v>213</v>
      </c>
      <c r="V37" s="1593" t="s">
        <v>214</v>
      </c>
      <c r="W37" s="1593" t="s">
        <v>171</v>
      </c>
      <c r="X37" s="1593" t="s">
        <v>172</v>
      </c>
    </row>
    <row r="38" spans="1:24" ht="15.75">
      <c r="A38" s="1592" t="str">
        <f>CONCATENATE('0. Анкета'!$C$13," год")</f>
        <v>2019 год</v>
      </c>
      <c r="B38" s="216">
        <f t="shared" ref="B38:E47" si="15">SUM(B9,B23)</f>
        <v>0</v>
      </c>
      <c r="C38" s="216">
        <f t="shared" si="15"/>
        <v>0</v>
      </c>
      <c r="D38" s="216">
        <f t="shared" si="15"/>
        <v>0</v>
      </c>
      <c r="E38" s="216">
        <f t="shared" si="15"/>
        <v>0</v>
      </c>
      <c r="F38" s="217">
        <f t="shared" ref="F38" si="16">SUM(B38:E38)</f>
        <v>0</v>
      </c>
      <c r="G38" s="258"/>
      <c r="H38" s="1594">
        <f t="shared" ref="H38:K39" si="17">SUM(H9,H23)</f>
        <v>0</v>
      </c>
      <c r="I38" s="1594">
        <f t="shared" si="17"/>
        <v>0</v>
      </c>
      <c r="J38" s="1594">
        <f t="shared" si="17"/>
        <v>0</v>
      </c>
      <c r="K38" s="1594">
        <f t="shared" si="17"/>
        <v>0</v>
      </c>
      <c r="L38" s="1595">
        <f t="shared" ref="L38" si="18">SUM(H38:K38)</f>
        <v>0</v>
      </c>
      <c r="M38" s="221"/>
      <c r="N38" s="1594">
        <f t="shared" ref="N38:Q39" si="19">SUM(N9,N23)</f>
        <v>0</v>
      </c>
      <c r="O38" s="1594">
        <f t="shared" si="19"/>
        <v>0</v>
      </c>
      <c r="P38" s="1594">
        <f t="shared" si="19"/>
        <v>0</v>
      </c>
      <c r="Q38" s="1594">
        <f t="shared" si="19"/>
        <v>0</v>
      </c>
      <c r="R38" s="1595">
        <f t="shared" ref="R38" si="20">SUM(N38:Q38)</f>
        <v>0</v>
      </c>
      <c r="T38" s="1594">
        <f t="shared" ref="T38:W39" si="21">SUM(T9,T23)</f>
        <v>0</v>
      </c>
      <c r="U38" s="1594">
        <f t="shared" si="21"/>
        <v>0</v>
      </c>
      <c r="V38" s="1594">
        <f t="shared" si="21"/>
        <v>0</v>
      </c>
      <c r="W38" s="1594">
        <f t="shared" si="21"/>
        <v>0</v>
      </c>
      <c r="X38" s="1595">
        <f t="shared" ref="X38" si="22">SUM(T38:W38)</f>
        <v>0</v>
      </c>
    </row>
    <row r="39" spans="1:24" ht="15.75">
      <c r="A39" s="1592" t="str">
        <f>CONCATENATE('0. Анкета'!$C$13+1," год")</f>
        <v>2020 год</v>
      </c>
      <c r="B39" s="216">
        <f t="shared" si="15"/>
        <v>0</v>
      </c>
      <c r="C39" s="216">
        <f t="shared" si="15"/>
        <v>0</v>
      </c>
      <c r="D39" s="216">
        <f t="shared" si="15"/>
        <v>0</v>
      </c>
      <c r="E39" s="216">
        <f t="shared" si="15"/>
        <v>0</v>
      </c>
      <c r="F39" s="217">
        <f t="shared" ref="F39:F41" si="23">SUM(B39:E39)</f>
        <v>0</v>
      </c>
      <c r="G39" s="258"/>
      <c r="H39" s="1594">
        <f t="shared" si="17"/>
        <v>0</v>
      </c>
      <c r="I39" s="1594">
        <f t="shared" si="17"/>
        <v>0</v>
      </c>
      <c r="J39" s="1594">
        <f t="shared" si="17"/>
        <v>0</v>
      </c>
      <c r="K39" s="1594">
        <f t="shared" si="17"/>
        <v>0</v>
      </c>
      <c r="L39" s="1595">
        <f t="shared" ref="L39:L41" si="24">SUM(H39:K39)</f>
        <v>0</v>
      </c>
      <c r="M39" s="221"/>
      <c r="N39" s="1594">
        <f t="shared" si="19"/>
        <v>0</v>
      </c>
      <c r="O39" s="1594">
        <f t="shared" si="19"/>
        <v>0</v>
      </c>
      <c r="P39" s="1594">
        <f t="shared" si="19"/>
        <v>0</v>
      </c>
      <c r="Q39" s="1594">
        <f t="shared" si="19"/>
        <v>0</v>
      </c>
      <c r="R39" s="1595">
        <f t="shared" ref="R39:R41" si="25">SUM(N39:Q39)</f>
        <v>0</v>
      </c>
      <c r="T39" s="1594">
        <f t="shared" si="21"/>
        <v>0</v>
      </c>
      <c r="U39" s="1594">
        <f t="shared" si="21"/>
        <v>0</v>
      </c>
      <c r="V39" s="1594">
        <f t="shared" si="21"/>
        <v>0</v>
      </c>
      <c r="W39" s="1594">
        <f t="shared" si="21"/>
        <v>0</v>
      </c>
      <c r="X39" s="1595">
        <f t="shared" ref="X39:X41" si="26">SUM(T39:W39)</f>
        <v>0</v>
      </c>
    </row>
    <row r="40" spans="1:24" ht="15.75">
      <c r="A40" s="1592" t="str">
        <f>CONCATENATE('0. Анкета'!$C$13+2," год")</f>
        <v>2021 год</v>
      </c>
      <c r="B40" s="216">
        <f t="shared" si="15"/>
        <v>0</v>
      </c>
      <c r="C40" s="216">
        <f t="shared" si="15"/>
        <v>0</v>
      </c>
      <c r="D40" s="216">
        <f t="shared" si="15"/>
        <v>0</v>
      </c>
      <c r="E40" s="216">
        <f t="shared" si="15"/>
        <v>0</v>
      </c>
      <c r="F40" s="217">
        <f t="shared" si="23"/>
        <v>0</v>
      </c>
      <c r="G40" s="258"/>
      <c r="H40" s="1594">
        <f t="shared" ref="H40:K40" si="27">SUM(H11,H25)</f>
        <v>0</v>
      </c>
      <c r="I40" s="1594">
        <f t="shared" si="27"/>
        <v>0</v>
      </c>
      <c r="J40" s="1594">
        <f t="shared" si="27"/>
        <v>0</v>
      </c>
      <c r="K40" s="1594">
        <f t="shared" si="27"/>
        <v>0</v>
      </c>
      <c r="L40" s="1595">
        <f t="shared" si="24"/>
        <v>0</v>
      </c>
      <c r="M40" s="221"/>
      <c r="N40" s="1594">
        <f t="shared" ref="N40:Q40" si="28">SUM(N11,N25)</f>
        <v>0</v>
      </c>
      <c r="O40" s="1594">
        <f t="shared" si="28"/>
        <v>0</v>
      </c>
      <c r="P40" s="1594">
        <f t="shared" si="28"/>
        <v>0</v>
      </c>
      <c r="Q40" s="1594">
        <f t="shared" si="28"/>
        <v>0</v>
      </c>
      <c r="R40" s="1595">
        <f t="shared" si="25"/>
        <v>0</v>
      </c>
      <c r="T40" s="1594">
        <f t="shared" ref="T40:W40" si="29">SUM(T11,T25)</f>
        <v>0</v>
      </c>
      <c r="U40" s="1594">
        <f t="shared" si="29"/>
        <v>0</v>
      </c>
      <c r="V40" s="1594">
        <f t="shared" si="29"/>
        <v>0</v>
      </c>
      <c r="W40" s="1594">
        <f t="shared" si="29"/>
        <v>0</v>
      </c>
      <c r="X40" s="1595">
        <f t="shared" si="26"/>
        <v>0</v>
      </c>
    </row>
    <row r="41" spans="1:24" ht="15.75">
      <c r="A41" s="1592" t="str">
        <f>CONCATENATE('0. Анкета'!$C$13+3," год")</f>
        <v>2022 год</v>
      </c>
      <c r="B41" s="216">
        <f t="shared" si="15"/>
        <v>0</v>
      </c>
      <c r="C41" s="216">
        <f t="shared" si="15"/>
        <v>0</v>
      </c>
      <c r="D41" s="216">
        <f t="shared" si="15"/>
        <v>0</v>
      </c>
      <c r="E41" s="216">
        <f t="shared" si="15"/>
        <v>0</v>
      </c>
      <c r="F41" s="217">
        <f t="shared" si="23"/>
        <v>0</v>
      </c>
      <c r="G41" s="258"/>
      <c r="H41" s="1594">
        <f t="shared" ref="H41:K41" si="30">SUM(H12,H26)</f>
        <v>0</v>
      </c>
      <c r="I41" s="1594">
        <f t="shared" si="30"/>
        <v>0</v>
      </c>
      <c r="J41" s="1594">
        <f t="shared" si="30"/>
        <v>0</v>
      </c>
      <c r="K41" s="1594">
        <f t="shared" si="30"/>
        <v>0</v>
      </c>
      <c r="L41" s="1595">
        <f t="shared" si="24"/>
        <v>0</v>
      </c>
      <c r="M41" s="221"/>
      <c r="N41" s="1594">
        <f t="shared" ref="N41:Q41" si="31">SUM(N12,N26)</f>
        <v>0</v>
      </c>
      <c r="O41" s="1594">
        <f t="shared" si="31"/>
        <v>0</v>
      </c>
      <c r="P41" s="1594">
        <f t="shared" si="31"/>
        <v>0</v>
      </c>
      <c r="Q41" s="1594">
        <f t="shared" si="31"/>
        <v>0</v>
      </c>
      <c r="R41" s="1595">
        <f t="shared" si="25"/>
        <v>0</v>
      </c>
      <c r="T41" s="1594">
        <f t="shared" ref="T41:W41" si="32">SUM(T12,T26)</f>
        <v>0</v>
      </c>
      <c r="U41" s="1594">
        <f t="shared" si="32"/>
        <v>0</v>
      </c>
      <c r="V41" s="1594">
        <f t="shared" si="32"/>
        <v>0</v>
      </c>
      <c r="W41" s="1594">
        <f t="shared" si="32"/>
        <v>0</v>
      </c>
      <c r="X41" s="1595">
        <f t="shared" si="26"/>
        <v>0</v>
      </c>
    </row>
    <row r="42" spans="1:24" ht="15.75">
      <c r="A42" s="1592" t="str">
        <f>CONCATENATE('0. Анкета'!$C$13+4," год")</f>
        <v>2023 год</v>
      </c>
      <c r="B42" s="216">
        <f t="shared" si="15"/>
        <v>0</v>
      </c>
      <c r="C42" s="216">
        <f t="shared" si="15"/>
        <v>0</v>
      </c>
      <c r="D42" s="216">
        <f t="shared" si="15"/>
        <v>0</v>
      </c>
      <c r="E42" s="216">
        <f t="shared" si="15"/>
        <v>0</v>
      </c>
      <c r="F42" s="217">
        <f t="shared" ref="F42:F47" si="33">SUM(B42:E42)</f>
        <v>0</v>
      </c>
      <c r="G42" s="258"/>
      <c r="H42" s="1594">
        <f t="shared" ref="H42:K42" si="34">SUM(H13,H27)</f>
        <v>0</v>
      </c>
      <c r="I42" s="1594">
        <f t="shared" si="34"/>
        <v>0</v>
      </c>
      <c r="J42" s="1594">
        <f t="shared" si="34"/>
        <v>0</v>
      </c>
      <c r="K42" s="1594">
        <f t="shared" si="34"/>
        <v>0</v>
      </c>
      <c r="L42" s="1595">
        <f t="shared" ref="L42:L47" si="35">SUM(H42:K42)</f>
        <v>0</v>
      </c>
      <c r="M42" s="221"/>
      <c r="N42" s="1594">
        <f t="shared" ref="N42:Q42" si="36">SUM(N13,N27)</f>
        <v>0</v>
      </c>
      <c r="O42" s="1594">
        <f t="shared" si="36"/>
        <v>0</v>
      </c>
      <c r="P42" s="1594">
        <f t="shared" si="36"/>
        <v>0</v>
      </c>
      <c r="Q42" s="1594">
        <f t="shared" si="36"/>
        <v>0</v>
      </c>
      <c r="R42" s="1595">
        <f t="shared" ref="R42:R47" si="37">SUM(N42:Q42)</f>
        <v>0</v>
      </c>
      <c r="T42" s="1594">
        <f t="shared" ref="T42:W42" si="38">SUM(T13,T27)</f>
        <v>0</v>
      </c>
      <c r="U42" s="1594">
        <f t="shared" si="38"/>
        <v>0</v>
      </c>
      <c r="V42" s="1594">
        <f t="shared" si="38"/>
        <v>0</v>
      </c>
      <c r="W42" s="1594">
        <f t="shared" si="38"/>
        <v>0</v>
      </c>
      <c r="X42" s="1595">
        <f t="shared" ref="X42:X47" si="39">SUM(T42:W42)</f>
        <v>0</v>
      </c>
    </row>
    <row r="43" spans="1:24" ht="15.75" hidden="1">
      <c r="A43" s="1592" t="str">
        <f>CONCATENATE('0. Анкета'!$C$13+5," год")</f>
        <v>2024 год</v>
      </c>
      <c r="B43" s="216">
        <f t="shared" si="15"/>
        <v>2025</v>
      </c>
      <c r="C43" s="216">
        <f t="shared" si="15"/>
        <v>0</v>
      </c>
      <c r="D43" s="216">
        <f t="shared" si="15"/>
        <v>0</v>
      </c>
      <c r="E43" s="216">
        <f t="shared" si="15"/>
        <v>0</v>
      </c>
      <c r="F43" s="217">
        <f t="shared" si="33"/>
        <v>2025</v>
      </c>
      <c r="G43" s="258"/>
      <c r="H43" s="1594">
        <f t="shared" ref="H43:K43" si="40">SUM(H14,H28)</f>
        <v>2025.5</v>
      </c>
      <c r="I43" s="1594">
        <f t="shared" si="40"/>
        <v>0</v>
      </c>
      <c r="J43" s="1594">
        <f t="shared" si="40"/>
        <v>0</v>
      </c>
      <c r="K43" s="1594">
        <f t="shared" si="40"/>
        <v>0</v>
      </c>
      <c r="L43" s="1595">
        <f t="shared" si="35"/>
        <v>2025.5</v>
      </c>
      <c r="M43" s="221"/>
      <c r="N43" s="1594">
        <f t="shared" ref="N43:Q43" si="41">SUM(N14,N28)</f>
        <v>2026</v>
      </c>
      <c r="O43" s="1594">
        <f t="shared" si="41"/>
        <v>0</v>
      </c>
      <c r="P43" s="1594">
        <f t="shared" si="41"/>
        <v>0</v>
      </c>
      <c r="Q43" s="1594">
        <f t="shared" si="41"/>
        <v>0</v>
      </c>
      <c r="R43" s="1595">
        <f t="shared" si="37"/>
        <v>2026</v>
      </c>
      <c r="T43" s="1594">
        <f t="shared" ref="T43:W43" si="42">SUM(T14,T28)</f>
        <v>2026.5</v>
      </c>
      <c r="U43" s="1594">
        <f t="shared" si="42"/>
        <v>0</v>
      </c>
      <c r="V43" s="1594">
        <f t="shared" si="42"/>
        <v>0</v>
      </c>
      <c r="W43" s="1594">
        <f t="shared" si="42"/>
        <v>0</v>
      </c>
      <c r="X43" s="1595">
        <f t="shared" si="39"/>
        <v>2026.5</v>
      </c>
    </row>
    <row r="44" spans="1:24" ht="15.75" hidden="1">
      <c r="A44" s="1592" t="str">
        <f>CONCATENATE('0. Анкета'!$C$13+6," год")</f>
        <v>2025 год</v>
      </c>
      <c r="B44" s="216">
        <f t="shared" si="15"/>
        <v>2026</v>
      </c>
      <c r="C44" s="216">
        <f t="shared" si="15"/>
        <v>0</v>
      </c>
      <c r="D44" s="216">
        <f t="shared" si="15"/>
        <v>0</v>
      </c>
      <c r="E44" s="216">
        <f t="shared" si="15"/>
        <v>0</v>
      </c>
      <c r="F44" s="217">
        <f t="shared" si="33"/>
        <v>2026</v>
      </c>
      <c r="G44" s="258"/>
      <c r="H44" s="1594">
        <f t="shared" ref="H44:K44" si="43">SUM(H15,H29)</f>
        <v>2026.5</v>
      </c>
      <c r="I44" s="1594">
        <f t="shared" si="43"/>
        <v>0</v>
      </c>
      <c r="J44" s="1594">
        <f t="shared" si="43"/>
        <v>0</v>
      </c>
      <c r="K44" s="1594">
        <f t="shared" si="43"/>
        <v>0</v>
      </c>
      <c r="L44" s="1595">
        <f t="shared" si="35"/>
        <v>2026.5</v>
      </c>
      <c r="M44" s="221"/>
      <c r="N44" s="1594">
        <f t="shared" ref="N44:Q44" si="44">SUM(N15,N29)</f>
        <v>2027</v>
      </c>
      <c r="O44" s="1594">
        <f t="shared" si="44"/>
        <v>0</v>
      </c>
      <c r="P44" s="1594">
        <f t="shared" si="44"/>
        <v>0</v>
      </c>
      <c r="Q44" s="1594">
        <f t="shared" si="44"/>
        <v>0</v>
      </c>
      <c r="R44" s="1595">
        <f t="shared" si="37"/>
        <v>2027</v>
      </c>
      <c r="T44" s="1594">
        <f t="shared" ref="T44:W44" si="45">SUM(T15,T29)</f>
        <v>2027.5</v>
      </c>
      <c r="U44" s="1594">
        <f t="shared" si="45"/>
        <v>0</v>
      </c>
      <c r="V44" s="1594">
        <f t="shared" si="45"/>
        <v>0</v>
      </c>
      <c r="W44" s="1594">
        <f t="shared" si="45"/>
        <v>0</v>
      </c>
      <c r="X44" s="1595">
        <f t="shared" si="39"/>
        <v>2027.5</v>
      </c>
    </row>
    <row r="45" spans="1:24" ht="15.75" hidden="1">
      <c r="A45" s="1592" t="str">
        <f>CONCATENATE('0. Анкета'!$C$13+7," год")</f>
        <v>2026 год</v>
      </c>
      <c r="B45" s="216">
        <f t="shared" si="15"/>
        <v>2027</v>
      </c>
      <c r="C45" s="216">
        <f t="shared" si="15"/>
        <v>0</v>
      </c>
      <c r="D45" s="216">
        <f t="shared" si="15"/>
        <v>0</v>
      </c>
      <c r="E45" s="216">
        <f t="shared" si="15"/>
        <v>0</v>
      </c>
      <c r="F45" s="217">
        <f t="shared" si="33"/>
        <v>2027</v>
      </c>
      <c r="G45" s="258"/>
      <c r="H45" s="1594">
        <f t="shared" ref="H45:K45" si="46">SUM(H16,H30)</f>
        <v>2027.5</v>
      </c>
      <c r="I45" s="1594">
        <f t="shared" si="46"/>
        <v>0</v>
      </c>
      <c r="J45" s="1594">
        <f t="shared" si="46"/>
        <v>0</v>
      </c>
      <c r="K45" s="1594">
        <f t="shared" si="46"/>
        <v>0</v>
      </c>
      <c r="L45" s="1595">
        <f t="shared" si="35"/>
        <v>2027.5</v>
      </c>
      <c r="M45" s="221"/>
      <c r="N45" s="1594">
        <f t="shared" ref="N45:Q45" si="47">SUM(N16,N30)</f>
        <v>2028</v>
      </c>
      <c r="O45" s="1594">
        <f t="shared" si="47"/>
        <v>0</v>
      </c>
      <c r="P45" s="1594">
        <f t="shared" si="47"/>
        <v>0</v>
      </c>
      <c r="Q45" s="1594">
        <f t="shared" si="47"/>
        <v>0</v>
      </c>
      <c r="R45" s="1595">
        <f t="shared" si="37"/>
        <v>2028</v>
      </c>
      <c r="T45" s="1594">
        <f t="shared" ref="T45:W45" si="48">SUM(T16,T30)</f>
        <v>2028.5</v>
      </c>
      <c r="U45" s="1594">
        <f t="shared" si="48"/>
        <v>0</v>
      </c>
      <c r="V45" s="1594">
        <f t="shared" si="48"/>
        <v>0</v>
      </c>
      <c r="W45" s="1594">
        <f t="shared" si="48"/>
        <v>0</v>
      </c>
      <c r="X45" s="1595">
        <f t="shared" si="39"/>
        <v>2028.5</v>
      </c>
    </row>
    <row r="46" spans="1:24" ht="15.75" hidden="1">
      <c r="A46" s="1592" t="str">
        <f>CONCATENATE('0. Анкета'!$C$13+8," год")</f>
        <v>2027 год</v>
      </c>
      <c r="B46" s="216">
        <f t="shared" si="15"/>
        <v>2028</v>
      </c>
      <c r="C46" s="216">
        <f t="shared" si="15"/>
        <v>0</v>
      </c>
      <c r="D46" s="216">
        <f t="shared" si="15"/>
        <v>0</v>
      </c>
      <c r="E46" s="216">
        <f t="shared" si="15"/>
        <v>0</v>
      </c>
      <c r="F46" s="217">
        <f t="shared" si="33"/>
        <v>2028</v>
      </c>
      <c r="G46" s="258"/>
      <c r="H46" s="1594">
        <f t="shared" ref="H46:K46" si="49">SUM(H17,H31)</f>
        <v>2028.5</v>
      </c>
      <c r="I46" s="1594">
        <f t="shared" si="49"/>
        <v>0</v>
      </c>
      <c r="J46" s="1594">
        <f t="shared" si="49"/>
        <v>0</v>
      </c>
      <c r="K46" s="1594">
        <f t="shared" si="49"/>
        <v>0</v>
      </c>
      <c r="L46" s="1595">
        <f t="shared" si="35"/>
        <v>2028.5</v>
      </c>
      <c r="M46" s="221"/>
      <c r="N46" s="1594">
        <f t="shared" ref="N46:Q46" si="50">SUM(N17,N31)</f>
        <v>2029</v>
      </c>
      <c r="O46" s="1594">
        <f t="shared" si="50"/>
        <v>0</v>
      </c>
      <c r="P46" s="1594">
        <f t="shared" si="50"/>
        <v>0</v>
      </c>
      <c r="Q46" s="1594">
        <f t="shared" si="50"/>
        <v>0</v>
      </c>
      <c r="R46" s="1595">
        <f t="shared" si="37"/>
        <v>2029</v>
      </c>
      <c r="T46" s="1594">
        <f t="shared" ref="T46:W46" si="51">SUM(T17,T31)</f>
        <v>2029.5</v>
      </c>
      <c r="U46" s="1594">
        <f t="shared" si="51"/>
        <v>0</v>
      </c>
      <c r="V46" s="1594">
        <f t="shared" si="51"/>
        <v>0</v>
      </c>
      <c r="W46" s="1594">
        <f t="shared" si="51"/>
        <v>0</v>
      </c>
      <c r="X46" s="1595">
        <f t="shared" si="39"/>
        <v>2029.5</v>
      </c>
    </row>
    <row r="47" spans="1:24" ht="15.75" hidden="1">
      <c r="A47" s="1592" t="str">
        <f>CONCATENATE('0. Анкета'!$C$13+9," год")</f>
        <v>2028 год</v>
      </c>
      <c r="B47" s="216">
        <f t="shared" si="15"/>
        <v>2029</v>
      </c>
      <c r="C47" s="216">
        <f t="shared" si="15"/>
        <v>0</v>
      </c>
      <c r="D47" s="216">
        <f t="shared" si="15"/>
        <v>0</v>
      </c>
      <c r="E47" s="216">
        <f t="shared" si="15"/>
        <v>0</v>
      </c>
      <c r="F47" s="217">
        <f t="shared" si="33"/>
        <v>2029</v>
      </c>
      <c r="G47" s="258"/>
      <c r="H47" s="1594">
        <f t="shared" ref="H47:K47" si="52">SUM(H18,H32)</f>
        <v>2029.5</v>
      </c>
      <c r="I47" s="1594">
        <f t="shared" si="52"/>
        <v>0</v>
      </c>
      <c r="J47" s="1594">
        <f t="shared" si="52"/>
        <v>0</v>
      </c>
      <c r="K47" s="1594">
        <f t="shared" si="52"/>
        <v>0</v>
      </c>
      <c r="L47" s="1595">
        <f t="shared" si="35"/>
        <v>2029.5</v>
      </c>
      <c r="M47" s="221"/>
      <c r="N47" s="1594">
        <f t="shared" ref="N47:Q47" si="53">SUM(N18,N32)</f>
        <v>2030</v>
      </c>
      <c r="O47" s="1594">
        <f t="shared" si="53"/>
        <v>0</v>
      </c>
      <c r="P47" s="1594">
        <f t="shared" si="53"/>
        <v>0</v>
      </c>
      <c r="Q47" s="1594">
        <f t="shared" si="53"/>
        <v>0</v>
      </c>
      <c r="R47" s="1595">
        <f t="shared" si="37"/>
        <v>2030</v>
      </c>
      <c r="T47" s="1594">
        <f t="shared" ref="T47:W47" si="54">SUM(T18,T32)</f>
        <v>2030.5</v>
      </c>
      <c r="U47" s="1594">
        <f t="shared" si="54"/>
        <v>0</v>
      </c>
      <c r="V47" s="1594">
        <f t="shared" si="54"/>
        <v>0</v>
      </c>
      <c r="W47" s="1594">
        <f t="shared" si="54"/>
        <v>0</v>
      </c>
      <c r="X47" s="1595">
        <f t="shared" si="39"/>
        <v>2030.5</v>
      </c>
    </row>
    <row r="48" spans="1:24" s="222" customFormat="1" ht="15.75">
      <c r="A48" s="219"/>
      <c r="B48" s="220"/>
      <c r="C48" s="220"/>
      <c r="D48" s="220"/>
      <c r="E48" s="220"/>
      <c r="F48" s="220"/>
      <c r="G48" s="223"/>
      <c r="H48" s="220"/>
      <c r="I48" s="220"/>
      <c r="J48" s="220"/>
      <c r="K48" s="220"/>
      <c r="L48" s="220"/>
      <c r="M48" s="221"/>
      <c r="N48" s="220"/>
      <c r="O48" s="220"/>
      <c r="P48" s="220"/>
      <c r="Q48" s="220"/>
      <c r="R48" s="220"/>
      <c r="T48" s="220"/>
      <c r="U48" s="220"/>
      <c r="V48" s="220"/>
      <c r="W48" s="220"/>
      <c r="X48" s="220"/>
    </row>
    <row r="49" spans="1:24" s="222" customFormat="1" ht="18.75">
      <c r="A49" s="2292"/>
      <c r="B49" s="2292"/>
      <c r="C49" s="2292"/>
      <c r="D49" s="2292"/>
      <c r="E49" s="2292"/>
      <c r="F49" s="2292"/>
      <c r="G49" s="2292"/>
      <c r="H49" s="2292"/>
      <c r="I49" s="2292"/>
      <c r="J49" s="2292"/>
      <c r="K49" s="2292"/>
      <c r="L49" s="2292"/>
      <c r="M49" s="2292"/>
    </row>
    <row r="50" spans="1:24" s="1639" customFormat="1" ht="23.25" customHeight="1">
      <c r="A50" s="2293"/>
      <c r="B50" s="2294"/>
      <c r="C50" s="2294"/>
      <c r="D50" s="1637"/>
      <c r="E50" s="1637"/>
      <c r="F50" s="1637"/>
      <c r="G50" s="1638"/>
      <c r="H50" s="1637"/>
      <c r="I50" s="1637"/>
      <c r="J50" s="1637"/>
      <c r="K50" s="1637"/>
      <c r="L50" s="1637"/>
      <c r="M50" s="1637"/>
      <c r="N50" s="1637"/>
      <c r="O50" s="1637"/>
      <c r="P50" s="1637"/>
      <c r="Q50" s="1637"/>
      <c r="R50" s="1637"/>
      <c r="T50" s="1637"/>
      <c r="U50" s="1637"/>
      <c r="V50" s="1637"/>
      <c r="W50" s="1637"/>
      <c r="X50" s="1637"/>
    </row>
    <row r="51" spans="1:24" s="1639" customFormat="1" ht="17.25" customHeight="1">
      <c r="A51" s="1640"/>
      <c r="B51" s="1640"/>
      <c r="C51" s="1640"/>
      <c r="D51" s="2300"/>
      <c r="E51" s="2300"/>
      <c r="F51" s="2300"/>
      <c r="G51" s="2300"/>
      <c r="H51" s="1640"/>
      <c r="I51" s="1640"/>
      <c r="J51" s="2300"/>
      <c r="K51" s="2300"/>
      <c r="L51" s="2300"/>
      <c r="M51" s="2300"/>
      <c r="N51" s="1640"/>
      <c r="O51" s="1640"/>
      <c r="P51" s="2300"/>
      <c r="Q51" s="2300"/>
      <c r="T51" s="1640"/>
      <c r="U51" s="1640"/>
      <c r="V51" s="2300"/>
      <c r="W51" s="2300"/>
    </row>
    <row r="52" spans="1:24" s="1639" customFormat="1" ht="41.25" customHeight="1">
      <c r="A52" s="2293"/>
      <c r="B52" s="2294"/>
      <c r="C52" s="2294"/>
      <c r="D52" s="1641"/>
      <c r="E52" s="1641"/>
      <c r="F52" s="1641"/>
      <c r="G52" s="1642"/>
      <c r="H52" s="1641"/>
      <c r="I52" s="1641"/>
      <c r="J52" s="1641"/>
      <c r="K52" s="1641"/>
      <c r="L52" s="1641"/>
      <c r="M52" s="1641"/>
      <c r="N52" s="1641"/>
      <c r="O52" s="1641"/>
      <c r="P52" s="1641"/>
      <c r="Q52" s="1641"/>
      <c r="R52" s="1641"/>
      <c r="T52" s="1641"/>
      <c r="U52" s="1641"/>
      <c r="V52" s="1641"/>
      <c r="W52" s="1641"/>
      <c r="X52" s="1641"/>
    </row>
    <row r="53" spans="1:24" s="222" customFormat="1">
      <c r="A53" s="1635"/>
      <c r="B53" s="1643"/>
      <c r="C53" s="1643"/>
      <c r="D53" s="1643"/>
      <c r="E53" s="1643"/>
      <c r="F53" s="1643"/>
      <c r="G53" s="1643"/>
      <c r="H53" s="1643"/>
      <c r="I53" s="1643"/>
      <c r="J53" s="1643"/>
      <c r="K53" s="1643"/>
      <c r="L53" s="1643"/>
      <c r="M53" s="1643"/>
      <c r="N53" s="1643"/>
      <c r="O53" s="1643"/>
      <c r="P53" s="1643"/>
      <c r="Q53" s="1643"/>
      <c r="R53" s="1643"/>
      <c r="T53" s="1643"/>
      <c r="U53" s="1643"/>
      <c r="V53" s="1643"/>
      <c r="W53" s="1643"/>
      <c r="X53" s="1643"/>
    </row>
    <row r="54" spans="1:24" s="222" customFormat="1">
      <c r="A54" s="1644"/>
      <c r="B54" s="1645"/>
      <c r="C54" s="1645"/>
      <c r="D54" s="1646"/>
      <c r="E54" s="1646"/>
      <c r="F54" s="1647"/>
      <c r="G54" s="1648"/>
      <c r="H54" s="1645"/>
      <c r="I54" s="1645"/>
      <c r="J54" s="1646"/>
      <c r="K54" s="1646"/>
      <c r="L54" s="1647"/>
      <c r="M54" s="1648"/>
      <c r="N54" s="1645"/>
      <c r="O54" s="1645"/>
      <c r="P54" s="1646"/>
      <c r="Q54" s="1646"/>
      <c r="R54" s="1647"/>
      <c r="T54" s="1645"/>
      <c r="U54" s="1645"/>
      <c r="V54" s="1646"/>
      <c r="W54" s="1646"/>
      <c r="X54" s="1647"/>
    </row>
    <row r="55" spans="1:24" s="222" customFormat="1">
      <c r="A55" s="1644"/>
      <c r="B55" s="1645"/>
      <c r="C55" s="1645"/>
      <c r="D55" s="1649"/>
      <c r="E55" s="1649"/>
      <c r="F55" s="1650"/>
      <c r="G55" s="1648"/>
      <c r="H55" s="1645"/>
      <c r="I55" s="1645"/>
      <c r="J55" s="1649"/>
      <c r="K55" s="1649"/>
      <c r="L55" s="1650"/>
      <c r="M55" s="1648"/>
      <c r="N55" s="1645"/>
      <c r="O55" s="1645"/>
      <c r="P55" s="1649"/>
      <c r="Q55" s="1649"/>
      <c r="R55" s="1650"/>
      <c r="T55" s="1645"/>
      <c r="U55" s="1645"/>
      <c r="V55" s="1649"/>
      <c r="W55" s="1649"/>
      <c r="X55" s="1650"/>
    </row>
    <row r="56" spans="1:24" s="222" customFormat="1">
      <c r="A56" s="1644"/>
      <c r="B56" s="1648"/>
      <c r="C56" s="1648"/>
      <c r="D56" s="1651"/>
      <c r="E56" s="2298"/>
      <c r="F56" s="2299"/>
      <c r="G56" s="1648"/>
      <c r="H56" s="1648"/>
      <c r="I56" s="1648"/>
      <c r="J56" s="1651"/>
      <c r="K56" s="2298"/>
      <c r="L56" s="2299"/>
      <c r="M56" s="1648"/>
      <c r="N56" s="1648"/>
      <c r="O56" s="1648"/>
      <c r="P56" s="1651"/>
      <c r="Q56" s="2298"/>
      <c r="R56" s="2299"/>
      <c r="T56" s="1648"/>
      <c r="U56" s="1648"/>
      <c r="V56" s="1651"/>
      <c r="W56" s="2298"/>
      <c r="X56" s="2299"/>
    </row>
    <row r="57" spans="1:24" s="222" customFormat="1">
      <c r="A57" s="1644"/>
      <c r="B57" s="1648"/>
      <c r="C57" s="1648"/>
      <c r="D57" s="2296"/>
      <c r="E57" s="2296"/>
      <c r="F57" s="1652"/>
      <c r="G57" s="1653"/>
      <c r="H57" s="1648"/>
      <c r="I57" s="1648"/>
      <c r="J57" s="2296"/>
      <c r="K57" s="2296"/>
      <c r="L57" s="1652"/>
      <c r="M57" s="1648"/>
      <c r="N57" s="1648"/>
      <c r="O57" s="1648"/>
      <c r="P57" s="2296"/>
      <c r="Q57" s="2296"/>
      <c r="R57" s="1652"/>
      <c r="T57" s="1648"/>
      <c r="U57" s="1648"/>
      <c r="V57" s="2296"/>
      <c r="W57" s="2296"/>
      <c r="X57" s="1652"/>
    </row>
    <row r="58" spans="1:24" s="222" customFormat="1">
      <c r="A58" s="1644"/>
      <c r="B58" s="1644"/>
      <c r="C58" s="1644"/>
      <c r="D58" s="2296"/>
      <c r="E58" s="2296"/>
      <c r="F58" s="1654"/>
      <c r="G58" s="1644"/>
      <c r="H58" s="1644"/>
      <c r="I58" s="1644"/>
      <c r="J58" s="2296"/>
      <c r="K58" s="2296"/>
      <c r="L58" s="1654"/>
      <c r="M58" s="1644"/>
      <c r="N58" s="1644"/>
      <c r="O58" s="1644"/>
      <c r="P58" s="2296"/>
      <c r="Q58" s="2296"/>
      <c r="R58" s="1654"/>
      <c r="T58" s="1644"/>
      <c r="U58" s="1644"/>
      <c r="V58" s="2296"/>
      <c r="W58" s="2296"/>
      <c r="X58" s="1654"/>
    </row>
    <row r="59" spans="1:24" s="222" customFormat="1">
      <c r="A59" s="1644"/>
      <c r="B59" s="1644"/>
      <c r="C59" s="1644"/>
      <c r="D59" s="1655"/>
      <c r="E59" s="1656"/>
      <c r="F59" s="1654"/>
      <c r="G59" s="1644"/>
      <c r="H59" s="1644"/>
      <c r="I59" s="1644"/>
      <c r="J59" s="1655"/>
      <c r="K59" s="1656"/>
      <c r="L59" s="1654"/>
      <c r="M59" s="1644"/>
      <c r="N59" s="1644"/>
      <c r="O59" s="1644"/>
      <c r="P59" s="1655"/>
      <c r="Q59" s="1656"/>
      <c r="R59" s="1654"/>
      <c r="T59" s="1644"/>
      <c r="U59" s="1644"/>
      <c r="V59" s="1655"/>
      <c r="W59" s="1656"/>
      <c r="X59" s="1654"/>
    </row>
    <row r="60" spans="1:24" s="222" customFormat="1">
      <c r="A60" s="1644"/>
      <c r="B60" s="1648"/>
      <c r="C60" s="1648"/>
      <c r="D60" s="1651"/>
      <c r="E60" s="1651"/>
      <c r="F60" s="1657"/>
      <c r="G60" s="1658"/>
      <c r="H60" s="1648"/>
      <c r="I60" s="1648"/>
      <c r="J60" s="1651"/>
      <c r="K60" s="1651"/>
      <c r="L60" s="1657"/>
      <c r="M60" s="1648"/>
      <c r="N60" s="1648"/>
      <c r="O60" s="1648"/>
      <c r="P60" s="1651"/>
      <c r="Q60" s="1651"/>
      <c r="R60" s="1657"/>
      <c r="T60" s="1648"/>
      <c r="U60" s="1648"/>
      <c r="V60" s="1651"/>
      <c r="W60" s="1651"/>
      <c r="X60" s="1657"/>
    </row>
    <row r="61" spans="1:24" s="222" customFormat="1">
      <c r="A61" s="1644"/>
      <c r="B61" s="1648"/>
      <c r="C61" s="1648"/>
      <c r="D61" s="1651"/>
      <c r="E61" s="1651"/>
      <c r="F61" s="1657"/>
      <c r="G61" s="1658"/>
      <c r="H61" s="1648"/>
      <c r="I61" s="1648"/>
      <c r="J61" s="1651"/>
      <c r="K61" s="1651"/>
      <c r="L61" s="1657"/>
      <c r="M61" s="1648"/>
      <c r="N61" s="1648"/>
      <c r="O61" s="1648"/>
      <c r="P61" s="1651"/>
      <c r="Q61" s="1651"/>
      <c r="R61" s="1657"/>
      <c r="T61" s="1648"/>
      <c r="U61" s="1648"/>
      <c r="V61" s="1651"/>
      <c r="W61" s="1651"/>
      <c r="X61" s="1657"/>
    </row>
    <row r="62" spans="1:24" s="222" customFormat="1">
      <c r="A62" s="1644"/>
      <c r="B62" s="1648"/>
      <c r="C62" s="1648"/>
      <c r="D62" s="1651"/>
      <c r="E62" s="1651"/>
      <c r="F62" s="1657"/>
      <c r="G62" s="1658"/>
      <c r="H62" s="1648"/>
      <c r="I62" s="1648"/>
      <c r="J62" s="1651"/>
      <c r="K62" s="1651"/>
      <c r="L62" s="1657"/>
      <c r="M62" s="1648"/>
      <c r="N62" s="1648"/>
      <c r="O62" s="1648"/>
      <c r="P62" s="1651"/>
      <c r="Q62" s="1651"/>
      <c r="R62" s="1657"/>
      <c r="T62" s="1648"/>
      <c r="U62" s="1648"/>
      <c r="V62" s="1651"/>
      <c r="W62" s="1651"/>
      <c r="X62" s="1657"/>
    </row>
    <row r="63" spans="1:24" s="222" customFormat="1">
      <c r="A63" s="1644"/>
      <c r="B63" s="1648"/>
      <c r="C63" s="1648"/>
      <c r="D63" s="1648"/>
      <c r="E63" s="1659"/>
      <c r="F63" s="1658"/>
      <c r="G63" s="1658"/>
      <c r="H63" s="1648"/>
      <c r="I63" s="1648"/>
      <c r="J63" s="1648"/>
      <c r="K63" s="1659"/>
      <c r="L63" s="1658"/>
      <c r="M63" s="1648"/>
      <c r="N63" s="1648"/>
      <c r="O63" s="1648"/>
      <c r="P63" s="1648"/>
      <c r="Q63" s="1659"/>
      <c r="R63" s="1658"/>
      <c r="T63" s="1648"/>
      <c r="U63" s="1648"/>
      <c r="V63" s="1648"/>
      <c r="W63" s="1659"/>
      <c r="X63" s="1658"/>
    </row>
    <row r="64" spans="1:24" s="222" customFormat="1">
      <c r="A64" s="1644"/>
      <c r="B64" s="1648"/>
      <c r="C64" s="1648"/>
      <c r="D64" s="1648"/>
      <c r="E64" s="1648"/>
      <c r="F64" s="1658"/>
      <c r="G64" s="1658"/>
      <c r="H64" s="1648"/>
      <c r="I64" s="1648"/>
      <c r="J64" s="1648"/>
      <c r="K64" s="1648"/>
      <c r="L64" s="1658"/>
      <c r="M64" s="1648"/>
      <c r="N64" s="1648"/>
      <c r="O64" s="1648"/>
      <c r="P64" s="1648"/>
      <c r="Q64" s="1648"/>
      <c r="R64" s="1658"/>
      <c r="T64" s="1648"/>
      <c r="U64" s="1648"/>
      <c r="V64" s="1648"/>
      <c r="W64" s="1648"/>
      <c r="X64" s="1658"/>
    </row>
    <row r="65" spans="1:24" s="222" customFormat="1">
      <c r="A65" s="1644"/>
      <c r="B65" s="1644"/>
      <c r="C65" s="1644"/>
      <c r="D65" s="1644"/>
      <c r="E65" s="1644"/>
      <c r="F65" s="1660"/>
      <c r="G65" s="1644"/>
      <c r="H65" s="1644"/>
      <c r="I65" s="1644"/>
      <c r="J65" s="1644"/>
      <c r="K65" s="1644"/>
      <c r="L65" s="1660"/>
      <c r="M65" s="1644"/>
      <c r="N65" s="1644"/>
      <c r="O65" s="1644"/>
      <c r="P65" s="1644"/>
      <c r="Q65" s="1644"/>
      <c r="R65" s="1660"/>
      <c r="T65" s="1644"/>
      <c r="U65" s="1644"/>
      <c r="V65" s="1644"/>
      <c r="W65" s="1644"/>
      <c r="X65" s="1660"/>
    </row>
    <row r="66" spans="1:24" s="222" customFormat="1">
      <c r="A66" s="1644"/>
      <c r="B66" s="1648"/>
      <c r="C66" s="1648"/>
      <c r="D66" s="1648"/>
      <c r="E66" s="1648"/>
      <c r="F66" s="1661"/>
      <c r="G66" s="1648"/>
      <c r="H66" s="1648"/>
      <c r="I66" s="1648"/>
      <c r="J66" s="1648"/>
      <c r="K66" s="1648"/>
      <c r="L66" s="1661"/>
      <c r="M66" s="1648"/>
      <c r="N66" s="1648"/>
      <c r="O66" s="1648"/>
      <c r="P66" s="1648"/>
      <c r="Q66" s="1648"/>
      <c r="R66" s="1661"/>
      <c r="T66" s="1648"/>
      <c r="U66" s="1648"/>
      <c r="V66" s="1648"/>
      <c r="W66" s="1648"/>
      <c r="X66" s="1661"/>
    </row>
    <row r="67" spans="1:24" s="222" customFormat="1">
      <c r="A67" s="1644"/>
      <c r="B67" s="1648"/>
      <c r="C67" s="1648"/>
      <c r="D67" s="1648"/>
      <c r="E67" s="1648"/>
      <c r="F67" s="1648"/>
      <c r="G67" s="1648"/>
      <c r="H67" s="1648"/>
      <c r="I67" s="1648"/>
      <c r="J67" s="1648"/>
      <c r="K67" s="1648"/>
      <c r="L67" s="1648"/>
      <c r="M67" s="1648"/>
      <c r="N67" s="1648"/>
      <c r="O67" s="1648"/>
      <c r="P67" s="1648"/>
      <c r="Q67" s="1648"/>
      <c r="R67" s="1648"/>
      <c r="T67" s="1648"/>
      <c r="U67" s="1648"/>
      <c r="V67" s="1648"/>
      <c r="W67" s="1648"/>
      <c r="X67" s="1648"/>
    </row>
    <row r="68" spans="1:24" s="222" customFormat="1">
      <c r="A68" s="1644"/>
      <c r="B68" s="1648"/>
      <c r="C68" s="1648"/>
      <c r="D68" s="1648"/>
      <c r="E68" s="1648"/>
      <c r="F68" s="1648"/>
      <c r="G68" s="1648"/>
      <c r="H68" s="1648"/>
      <c r="I68" s="1648"/>
      <c r="J68" s="1648"/>
      <c r="K68" s="1648"/>
      <c r="L68" s="1648"/>
      <c r="M68" s="1648"/>
      <c r="N68" s="1648"/>
      <c r="O68" s="1648"/>
      <c r="P68" s="1648"/>
      <c r="Q68" s="1648"/>
      <c r="R68" s="1648"/>
      <c r="T68" s="1648"/>
      <c r="U68" s="1648"/>
      <c r="V68" s="1648"/>
      <c r="W68" s="1648"/>
      <c r="X68" s="1648"/>
    </row>
    <row r="69" spans="1:24" s="222" customFormat="1">
      <c r="A69" s="1644"/>
      <c r="B69" s="1648"/>
      <c r="C69" s="1648"/>
      <c r="D69" s="1648"/>
      <c r="E69" s="1648"/>
      <c r="F69" s="1648"/>
      <c r="G69" s="1648"/>
      <c r="H69" s="1648"/>
      <c r="I69" s="1648"/>
      <c r="J69" s="1648"/>
      <c r="K69" s="1648"/>
      <c r="L69" s="1648"/>
      <c r="M69" s="1648"/>
      <c r="N69" s="1648"/>
      <c r="O69" s="1648"/>
      <c r="P69" s="1648"/>
      <c r="Q69" s="1648"/>
      <c r="R69" s="1648"/>
      <c r="T69" s="1648"/>
      <c r="U69" s="1648"/>
      <c r="V69" s="1648"/>
      <c r="W69" s="1648"/>
      <c r="X69" s="1648"/>
    </row>
    <row r="70" spans="1:24">
      <c r="A70" s="225"/>
      <c r="B70" s="226"/>
      <c r="C70" s="226"/>
      <c r="D70" s="226"/>
      <c r="E70" s="226"/>
      <c r="F70" s="226"/>
      <c r="G70" s="1648"/>
      <c r="H70" s="226"/>
      <c r="I70" s="226"/>
      <c r="J70" s="226"/>
      <c r="K70" s="226"/>
      <c r="L70" s="226"/>
      <c r="M70" s="1648"/>
      <c r="N70" s="226"/>
      <c r="O70" s="226"/>
      <c r="P70" s="226"/>
      <c r="Q70" s="226"/>
      <c r="R70" s="226"/>
      <c r="T70" s="226"/>
      <c r="U70" s="226"/>
      <c r="V70" s="226"/>
      <c r="W70" s="226"/>
      <c r="X70" s="226"/>
    </row>
    <row r="71" spans="1:24">
      <c r="A71" s="225"/>
      <c r="B71" s="225"/>
      <c r="C71" s="225"/>
      <c r="D71" s="225"/>
      <c r="E71" s="225"/>
      <c r="F71" s="225"/>
      <c r="G71" s="1644"/>
      <c r="H71" s="225"/>
      <c r="I71" s="225"/>
      <c r="J71" s="225"/>
      <c r="K71" s="225"/>
      <c r="L71" s="225"/>
      <c r="M71" s="1644"/>
      <c r="N71" s="225"/>
      <c r="O71" s="225"/>
      <c r="P71" s="225"/>
      <c r="Q71" s="225"/>
      <c r="R71" s="225"/>
      <c r="T71" s="225"/>
      <c r="U71" s="225"/>
      <c r="V71" s="225"/>
      <c r="W71" s="225"/>
      <c r="X71" s="225"/>
    </row>
  </sheetData>
  <mergeCells count="36">
    <mergeCell ref="P57:Q57"/>
    <mergeCell ref="P58:Q58"/>
    <mergeCell ref="T5:X5"/>
    <mergeCell ref="T7:X7"/>
    <mergeCell ref="T21:X21"/>
    <mergeCell ref="V51:W51"/>
    <mergeCell ref="W56:X56"/>
    <mergeCell ref="V57:W57"/>
    <mergeCell ref="V58:W58"/>
    <mergeCell ref="N5:R5"/>
    <mergeCell ref="N7:R7"/>
    <mergeCell ref="N21:R21"/>
    <mergeCell ref="P51:Q51"/>
    <mergeCell ref="Q56:R56"/>
    <mergeCell ref="J58:K58"/>
    <mergeCell ref="B7:F7"/>
    <mergeCell ref="B21:F21"/>
    <mergeCell ref="H7:L7"/>
    <mergeCell ref="H21:L21"/>
    <mergeCell ref="A52:C52"/>
    <mergeCell ref="E56:F56"/>
    <mergeCell ref="D57:E57"/>
    <mergeCell ref="D58:E58"/>
    <mergeCell ref="D51:E51"/>
    <mergeCell ref="F51:G51"/>
    <mergeCell ref="J51:K51"/>
    <mergeCell ref="L51:M51"/>
    <mergeCell ref="K56:L56"/>
    <mergeCell ref="J57:K57"/>
    <mergeCell ref="A4:F4"/>
    <mergeCell ref="A20:F20"/>
    <mergeCell ref="A35:F35"/>
    <mergeCell ref="A49:M49"/>
    <mergeCell ref="A50:C50"/>
    <mergeCell ref="A5:F5"/>
    <mergeCell ref="H5:L5"/>
  </mergeCells>
  <hyperlinks>
    <hyperlink ref="A2" location="'Перечень форм для заполнения'!A1" display="Вернуться к перечню форм"/>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39</vt:i4>
      </vt:variant>
    </vt:vector>
  </HeadingPairs>
  <TitlesOfParts>
    <vt:vector size="85" baseType="lpstr">
      <vt:lpstr>Расчеты к ПЗ</vt:lpstr>
      <vt:lpstr>Инструкция</vt:lpstr>
      <vt:lpstr>перечень форм</vt:lpstr>
      <vt:lpstr>0. Анкета</vt:lpstr>
      <vt:lpstr>1. Балансы ЭЭ и М</vt:lpstr>
      <vt:lpstr>2.Котловые балансы</vt:lpstr>
      <vt:lpstr>3. уе ЛЭП</vt:lpstr>
      <vt:lpstr>4. уе ПС</vt:lpstr>
      <vt:lpstr>5. уе свод</vt:lpstr>
      <vt:lpstr>6 (сырье и материалы)</vt:lpstr>
      <vt:lpstr>7 (РПР, ремонт)</vt:lpstr>
      <vt:lpstr>8 (расходы на ТО)</vt:lpstr>
      <vt:lpstr>9 (Персонал)</vt:lpstr>
      <vt:lpstr>10 (ППР)</vt:lpstr>
      <vt:lpstr>11 (ФСК)</vt:lpstr>
      <vt:lpstr>12 (аренда ЭСХ-отч пер)</vt:lpstr>
      <vt:lpstr>13 (аренда ЭСХ-план) </vt:lpstr>
      <vt:lpstr>14 (лизинг ЭСХ-отч пер)</vt:lpstr>
      <vt:lpstr>15 (лизинг ЭСХ-план)</vt:lpstr>
      <vt:lpstr>16 (ар.+лиз. проч. им.-отч пер)</vt:lpstr>
      <vt:lpstr>17 (ар.+лиз. проч. им. на-план)</vt:lpstr>
      <vt:lpstr>18 (прочие НР)</vt:lpstr>
      <vt:lpstr>19 (кредиты)</vt:lpstr>
      <vt:lpstr>20 (аморт-отч пер)</vt:lpstr>
      <vt:lpstr>21 (аморт-план)</vt:lpstr>
      <vt:lpstr>22 (свод аморт)</vt:lpstr>
      <vt:lpstr>23 (свод средн стоим ОС)</vt:lpstr>
      <vt:lpstr>24 (прибыль)</vt:lpstr>
      <vt:lpstr>25 расчет инд.тарифа</vt:lpstr>
      <vt:lpstr>26 (корректировка)</vt:lpstr>
      <vt:lpstr>27 (депозиты)</vt:lpstr>
      <vt:lpstr>28 (бездоговор)</vt:lpstr>
      <vt:lpstr>29 (потери-факт)</vt:lpstr>
      <vt:lpstr>30 (тов.выручка-факт)</vt:lpstr>
      <vt:lpstr>31 (услуги ФСК-факт)</vt:lpstr>
      <vt:lpstr>32 ИПР</vt:lpstr>
      <vt:lpstr>33 орех и нп</vt:lpstr>
      <vt:lpstr>34 Расчет НВВ по RAB</vt:lpstr>
      <vt:lpstr>35 Исполнение ИПР</vt:lpstr>
      <vt:lpstr>36 Расчет ЕКТ</vt:lpstr>
      <vt:lpstr>37 ФХД</vt:lpstr>
      <vt:lpstr>38 ДПР</vt:lpstr>
      <vt:lpstr>39 ИПЦ</vt:lpstr>
      <vt:lpstr>40 Потери ээ</vt:lpstr>
      <vt:lpstr>Лист3</vt:lpstr>
      <vt:lpstr>Лист4</vt:lpstr>
      <vt:lpstr>'Расчеты к ПЗ'!_ftnref1</vt:lpstr>
      <vt:lpstr>'Расчеты к ПЗ'!_ftnref2</vt:lpstr>
      <vt:lpstr>'Расчеты к ПЗ'!_ftnref3</vt:lpstr>
      <vt:lpstr>'Расчеты к ПЗ'!_Toc9493655</vt:lpstr>
      <vt:lpstr>'Расчеты к ПЗ'!_Toc9493656</vt:lpstr>
      <vt:lpstr>'Расчеты к ПЗ'!_Toc9493657</vt:lpstr>
      <vt:lpstr>'Расчеты к ПЗ'!_Toc9493658</vt:lpstr>
      <vt:lpstr>'Расчеты к ПЗ'!_Toc9493659</vt:lpstr>
      <vt:lpstr>'Расчеты к ПЗ'!_Toc9493660</vt:lpstr>
      <vt:lpstr>'Расчеты к ПЗ'!_Toc9493661</vt:lpstr>
      <vt:lpstr>'Расчеты к ПЗ'!_Toc9493662</vt:lpstr>
      <vt:lpstr>'Расчеты к ПЗ'!_Toc9493663</vt:lpstr>
      <vt:lpstr>'Расчеты к ПЗ'!_Toc9493664</vt:lpstr>
      <vt:lpstr>'Расчеты к ПЗ'!_Toc9493665</vt:lpstr>
      <vt:lpstr>'Расчеты к ПЗ'!_Toc9493666</vt:lpstr>
      <vt:lpstr>'Расчеты к ПЗ'!_Toc9493667</vt:lpstr>
      <vt:lpstr>'Расчеты к ПЗ'!_Toc9493668</vt:lpstr>
      <vt:lpstr>'Расчеты к ПЗ'!_Toc9493669</vt:lpstr>
      <vt:lpstr>'Расчеты к ПЗ'!_Toc9493670</vt:lpstr>
      <vt:lpstr>'Расчеты к ПЗ'!_Toc9493671</vt:lpstr>
      <vt:lpstr>'Расчеты к ПЗ'!_Toc9493672</vt:lpstr>
      <vt:lpstr>'24 (прибыль)'!added_row</vt:lpstr>
      <vt:lpstr>'24 (прибыль)'!added_rows</vt:lpstr>
      <vt:lpstr>'30 (тов.выручка-факт)'!bbb</vt:lpstr>
      <vt:lpstr>CheckBC_List24_2</vt:lpstr>
      <vt:lpstr>et_List24_2_sum</vt:lpstr>
      <vt:lpstr>List24_2_max</vt:lpstr>
      <vt:lpstr>List24_2_min</vt:lpstr>
      <vt:lpstr>List24_2_periods</vt:lpstr>
      <vt:lpstr>List24_2_prdall</vt:lpstr>
      <vt:lpstr>main.file_version</vt:lpstr>
      <vt:lpstr>pIns_List24_2</vt:lpstr>
      <vt:lpstr>pIns_List24_2_0</vt:lpstr>
      <vt:lpstr>rab_2_231</vt:lpstr>
      <vt:lpstr>'15 (лизинг ЭСХ-план)'!Область_печати</vt:lpstr>
      <vt:lpstr>'21 (аморт-план)'!Область_печати</vt:lpstr>
      <vt:lpstr>'25 расчет инд.тарифа'!Область_печати</vt:lpstr>
      <vt:lpstr>'26 (корректировка)'!Область_печати</vt:lpstr>
      <vt:lpstr>'6 (сырье и материалы)'!Область_печати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Кормаков Антон Аркадьевич</dc:creator>
  <cp:lastModifiedBy>Атажонова Р.А.</cp:lastModifiedBy>
  <dcterms:created xsi:type="dcterms:W3CDTF">2022-06-08T12:36:36Z</dcterms:created>
  <dcterms:modified xsi:type="dcterms:W3CDTF">2023-04-03T02:32:27Z</dcterms:modified>
</cp:coreProperties>
</file>